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755" activeTab="2"/>
  </bookViews>
  <sheets>
    <sheet name="DGA, geen BTW-aftrek in prive" sheetId="1" r:id="rId1"/>
    <sheet name="eenmanszaak met BTW-aftrek" sheetId="2" r:id="rId2"/>
    <sheet name="bestelauto eenmanszaak" sheetId="3" r:id="rId3"/>
  </sheets>
  <definedNames>
    <definedName name="aanschafw">#REF!</definedName>
    <definedName name="_xlnm.Print_Area" localSheetId="2">'bestelauto eenmanszaak'!$A$1:$F$67</definedName>
    <definedName name="_xlnm.Print_Area" localSheetId="0">'DGA, geen BTW-aftrek in prive'!$A$1:$G$69</definedName>
    <definedName name="_xlnm.Print_Area" localSheetId="1">'eenmanszaak met BTW-aftrek'!$A$1:$G$67</definedName>
    <definedName name="jaar">#REF!</definedName>
    <definedName name="restw">#REF!</definedName>
  </definedNames>
  <calcPr fullCalcOnLoad="1"/>
</workbook>
</file>

<file path=xl/sharedStrings.xml><?xml version="1.0" encoding="utf-8"?>
<sst xmlns="http://schemas.openxmlformats.org/spreadsheetml/2006/main" count="388" uniqueCount="114">
  <si>
    <t>Aanschafwaarde</t>
  </si>
  <si>
    <t>Cataloguswaarde</t>
  </si>
  <si>
    <t>Brandstof</t>
  </si>
  <si>
    <t>Privé</t>
  </si>
  <si>
    <t>Totaal</t>
  </si>
  <si>
    <t>Totale kosten</t>
  </si>
  <si>
    <t>Kilometervergoeding</t>
  </si>
  <si>
    <t>Prive</t>
  </si>
  <si>
    <t>Afschrijving</t>
  </si>
  <si>
    <t>Netto last per jaar</t>
  </si>
  <si>
    <t>Netto last hele gebruiksduur</t>
  </si>
  <si>
    <t xml:space="preserve"> </t>
  </si>
  <si>
    <t xml:space="preserve">Netto last per jaar </t>
  </si>
  <si>
    <t>Onderneming</t>
  </si>
  <si>
    <t>Inkomstenbelasting box 2</t>
  </si>
  <si>
    <t xml:space="preserve">Netto last hele gebruiksduur </t>
  </si>
  <si>
    <t>liter/100 km</t>
  </si>
  <si>
    <t>invoervelden</t>
  </si>
  <si>
    <t>Oorspronkelijke BPM</t>
  </si>
  <si>
    <t>Verwachte restwaarde</t>
  </si>
  <si>
    <t>Brandstofverbruik</t>
  </si>
  <si>
    <t>Brandstofprijs per liter</t>
  </si>
  <si>
    <t>Aantal privé-kilometers per jaar</t>
  </si>
  <si>
    <t>Aantal zakelijke km's per jaar</t>
  </si>
  <si>
    <t>Verwachte jaarlijkse onderhoudskosten</t>
  </si>
  <si>
    <t>Jaarlijkse kosten verzekering</t>
  </si>
  <si>
    <t xml:space="preserve">Alternatief 1: aanschaf auto in privé </t>
  </si>
  <si>
    <t>Vergoeding per km indien auto in privé</t>
  </si>
  <si>
    <t>ct/km</t>
  </si>
  <si>
    <t>%</t>
  </si>
  <si>
    <t>Belastingtarief privé</t>
  </si>
  <si>
    <t>Belastingtarief BV</t>
  </si>
  <si>
    <t>inclusief BTW</t>
  </si>
  <si>
    <t>incl. BTW (zie evt. www.anwb.nl, zoek op "autokosten")</t>
  </si>
  <si>
    <t>inclusief BTW en BPM</t>
  </si>
  <si>
    <t>zie kentekenbewijs deel IA</t>
  </si>
  <si>
    <t>zie www.belastingdienst.nl/mrb</t>
  </si>
  <si>
    <t>inclusief woon-werkverkeer</t>
  </si>
  <si>
    <t>toelichting</t>
  </si>
  <si>
    <t>Verzekering/MRB/onderhoud</t>
  </si>
  <si>
    <t>Jaarlijkse kosten motorrijtuigenbelasting (MRB)</t>
  </si>
  <si>
    <t>BV</t>
  </si>
  <si>
    <t>Alternatief 2: aanschaf auto in de BV</t>
  </si>
  <si>
    <t>afschrijving</t>
  </si>
  <si>
    <t>rest-BPM</t>
  </si>
  <si>
    <t>Percentage rest-BPM (bij gebruikte auto)</t>
  </si>
  <si>
    <t>bij nieuwe auto op 100% laten staan</t>
  </si>
  <si>
    <t>Tabel percentage rest-BPM</t>
  </si>
  <si>
    <t xml:space="preserve">Inkomstenbelasting over de bijtelling </t>
  </si>
  <si>
    <t>alle volgende maanden: afschrijving = 0,083% per maand</t>
  </si>
  <si>
    <t>tot maand</t>
  </si>
  <si>
    <t>km</t>
  </si>
  <si>
    <t xml:space="preserve">€ </t>
  </si>
  <si>
    <t>€</t>
  </si>
  <si>
    <t>Bij de gekozen invoergegevens kunt u de auto het beste aanschaffen:</t>
  </si>
  <si>
    <t xml:space="preserve">Belastingtarief </t>
  </si>
  <si>
    <t>Alternatief 2: aanschaf auto in de zaak</t>
  </si>
  <si>
    <t>voor gebruik van dit rekenmodel zonder dat haar adviseurs daarbij in het concrete geval betrokken zijn.</t>
  </si>
  <si>
    <t>NB: bij aanschaf van een bestelauto dient er rekening mee te worden gehouden dat alleen bij aanschaf in de B.V.</t>
  </si>
  <si>
    <t>recht bestaat op een vrijstelling van BPM, toepassing van de BPM-doorschuifregeling (gebruikte bestelauto) en evt.</t>
  </si>
  <si>
    <t>Inkomstenbelasting</t>
  </si>
  <si>
    <t>Bijtellingscategorie</t>
  </si>
  <si>
    <t>Investeringsaftrek</t>
  </si>
  <si>
    <t xml:space="preserve">investering </t>
  </si>
  <si>
    <t>meer dan</t>
  </si>
  <si>
    <t xml:space="preserve">maar niet </t>
  </si>
  <si>
    <t>aftrek</t>
  </si>
  <si>
    <t>28% x investeringstotaal van dit jaar</t>
  </si>
  <si>
    <t>Alternatief 1: aanschaf auto in privé (DGA zonder BTW-aftrek in privé)</t>
  </si>
  <si>
    <t>BTW over privégebruik</t>
  </si>
  <si>
    <t>Uitgangspunt van de berekening is dat DGA in privé geen BTW-ondernemer is.</t>
  </si>
  <si>
    <t>Rente</t>
  </si>
  <si>
    <t>Rentepercentage financiering</t>
  </si>
  <si>
    <t>Rente financiering</t>
  </si>
  <si>
    <t>*) De evt. investeringsaftrek is verwerkt in dit jaartotaal, dat in dat geval geldt voor jaar 1. In de netto last voor de hele</t>
  </si>
  <si>
    <t>gebruiksduur is de investeringsaftrek uitsluitend verwerkt voor het investeringsjaar.</t>
  </si>
  <si>
    <t>*)</t>
  </si>
  <si>
    <t xml:space="preserve">Inkomsten-/Vennootschapsbelasting </t>
  </si>
  <si>
    <t>(het model houdt zelf rekening met MKB-winstvrijstelling)</t>
  </si>
  <si>
    <t>Tabel investeringsaftrek</t>
  </si>
  <si>
    <t>investeringsaftrek. Idem voor de MIA op een nieuwe (semi)elektrische auto.</t>
  </si>
  <si>
    <t>Investeringsaftrek (KIA en/of MIA)</t>
  </si>
  <si>
    <t>Bestelauto in de eenmanszaak of in privé</t>
  </si>
  <si>
    <r>
      <t xml:space="preserve">inclusief BTW </t>
    </r>
    <r>
      <rPr>
        <b/>
        <u val="single"/>
        <sz val="7"/>
        <rFont val="Arial"/>
        <family val="2"/>
      </rPr>
      <t>en BPM</t>
    </r>
  </si>
  <si>
    <t>Kleinschaligheidsinvesteringsaftrek:</t>
  </si>
  <si>
    <t>incl. BTW (nieuw of met doorschuifregeling BPM: excl. BPM)</t>
  </si>
  <si>
    <t>Netto last per jaar *)</t>
  </si>
  <si>
    <t>Geplande gebruiksduur in maanden</t>
  </si>
  <si>
    <t>maanden</t>
  </si>
  <si>
    <t>Rest-BPM bij inruil:</t>
  </si>
  <si>
    <t>inclusief btw</t>
  </si>
  <si>
    <r>
      <rPr>
        <u val="single"/>
        <sz val="7"/>
        <rFont val="Arial"/>
        <family val="2"/>
      </rPr>
      <t>exclusief</t>
    </r>
    <r>
      <rPr>
        <sz val="7"/>
        <rFont val="Arial"/>
        <family val="2"/>
      </rPr>
      <t xml:space="preserve"> btw</t>
    </r>
  </si>
  <si>
    <t xml:space="preserve">Hoewel aan de samenstelling de uiterste zorg is besteed, aanvaardt AMD automotive fiscalisten B.V. geen enkele </t>
  </si>
  <si>
    <t>aansprakelijkheid voor gebruik van dit rekenmodel zonder dat haar adviseurs daarbij in het concrete geval betrokken zijn.</t>
  </si>
  <si>
    <t>Uitgangspunt is dat bij aanschaf in privé gekozen wordt voor kwalificatie als BTW-ondernemingsvermogen</t>
  </si>
  <si>
    <t>27% over max. € 16.000</t>
  </si>
  <si>
    <t>KIA op bestelauto / MIA bij bijvoorbeeld EV-/SOLAR-bestelauto</t>
  </si>
  <si>
    <t>KIA op bestelauto / MIA bij bijvoorbeeld EV</t>
  </si>
  <si>
    <t>36% over max. € 75.000</t>
  </si>
  <si>
    <t>plus 45% energie-inv.aftrek over de zonnepanelen</t>
  </si>
  <si>
    <t>Volledig elektrische personenauto</t>
  </si>
  <si>
    <t>Bestelauto met zonnecelkoeling</t>
  </si>
  <si>
    <t>(zie voorwaarden milieulijst)</t>
  </si>
  <si>
    <t>13,5% over max. € 40.000</t>
  </si>
  <si>
    <t>Volledig elektrische N1/N2 bestelauto</t>
  </si>
  <si>
    <t>Milieu-investeringsaftrek, voorbeelden:</t>
  </si>
  <si>
    <t xml:space="preserve">  </t>
  </si>
  <si>
    <t>Afweging personenauto in de eenmanszaak of in privé</t>
  </si>
  <si>
    <t xml:space="preserve">Afweging personenauto in BV of bij de DGA in privé </t>
  </si>
  <si>
    <t>VERSIE 2021</t>
  </si>
  <si>
    <t>€ 16.568 minus 7,56% x (inv.totaal - € 109.574)</t>
  </si>
  <si>
    <t>© 2021 AMD automotive fiscalisten B.V., www.autoenfiscus.nl</t>
  </si>
  <si>
    <t>N.B.: het rekenmodel houdt geen rekening met de baangerelateerde investeringskorting, omdat dit niet bij iedereen</t>
  </si>
  <si>
    <t>van toepassing is (nl. een afdrachtvermindering van loonheffing)</t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</si>
</sst>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_-* #,##0.000_-;_-* #,##0.000\-;_-* &quot;-&quot;??_-;_-@_-"/>
    <numFmt numFmtId="185" formatCode="_-* #,##0.0_-;_-* #,##0.0\-;_-* &quot;-&quot;??_-;_-@_-"/>
    <numFmt numFmtId="186" formatCode="_-* #,##0_-;_-* #,##0\-;_-* &quot;-&quot;??_-;_-@_-"/>
    <numFmt numFmtId="187" formatCode="0.0"/>
    <numFmt numFmtId="188" formatCode="0.0000"/>
    <numFmt numFmtId="189" formatCode="0.000"/>
    <numFmt numFmtId="190" formatCode="0.0%"/>
    <numFmt numFmtId="191" formatCode="#,##0.00_-"/>
    <numFmt numFmtId="192" formatCode="#,##0.0"/>
    <numFmt numFmtId="193" formatCode="dd/mm/yy"/>
    <numFmt numFmtId="194" formatCode="#,##0.000"/>
    <numFmt numFmtId="195" formatCode="&quot;€&quot;\ #,##0"/>
    <numFmt numFmtId="196" formatCode="&quot;€&quot;\ #,##0.00"/>
    <numFmt numFmtId="197" formatCode="#,##0.0000"/>
  </numFmts>
  <fonts count="50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u val="single"/>
      <sz val="7"/>
      <name val="Arial"/>
      <family val="2"/>
    </font>
    <font>
      <u val="single"/>
      <sz val="7"/>
      <name val="Arial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u val="single"/>
      <sz val="14.4"/>
      <color indexed="20"/>
      <name val="Arial MT"/>
      <family val="0"/>
    </font>
    <font>
      <sz val="10"/>
      <color indexed="17"/>
      <name val="Tahoma"/>
      <family val="2"/>
    </font>
    <font>
      <u val="single"/>
      <sz val="14.4"/>
      <color indexed="12"/>
      <name val="Arial MT"/>
      <family val="0"/>
    </font>
    <font>
      <sz val="10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19"/>
      <name val="Tahoma"/>
      <family val="2"/>
    </font>
    <font>
      <sz val="10"/>
      <color indexed="20"/>
      <name val="Tahoma"/>
      <family val="2"/>
    </font>
    <font>
      <b/>
      <sz val="18"/>
      <color indexed="62"/>
      <name val="Cambria"/>
      <family val="2"/>
    </font>
    <font>
      <b/>
      <sz val="10"/>
      <color indexed="8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u val="single"/>
      <sz val="10"/>
      <color indexed="12"/>
      <name val="Arial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A7D00"/>
      <name val="Tahoma"/>
      <family val="2"/>
    </font>
    <font>
      <u val="single"/>
      <sz val="14.4"/>
      <color theme="11"/>
      <name val="Arial MT"/>
      <family val="0"/>
    </font>
    <font>
      <sz val="10"/>
      <color rgb="FF006100"/>
      <name val="Tahoma"/>
      <family val="2"/>
    </font>
    <font>
      <u val="single"/>
      <sz val="14.4"/>
      <color theme="10"/>
      <name val="Arial MT"/>
      <family val="0"/>
    </font>
    <font>
      <sz val="10"/>
      <color rgb="FF3F3F76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9C6500"/>
      <name val="Tahoma"/>
      <family val="2"/>
    </font>
    <font>
      <sz val="10"/>
      <color rgb="FF9C0006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  <font>
      <sz val="10"/>
      <color rgb="FFFF0000"/>
      <name val="Tahoma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3" fontId="4" fillId="0" borderId="0" xfId="46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192" fontId="4" fillId="0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4" fontId="4" fillId="33" borderId="0" xfId="0" applyNumberFormat="1" applyFont="1" applyFill="1" applyAlignment="1">
      <alignment/>
    </xf>
    <xf numFmtId="192" fontId="4" fillId="33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4" fillId="33" borderId="0" xfId="0" applyNumberFormat="1" applyFont="1" applyFill="1" applyAlignment="1">
      <alignment/>
    </xf>
    <xf numFmtId="194" fontId="4" fillId="0" borderId="0" xfId="0" applyNumberFormat="1" applyFont="1" applyAlignment="1">
      <alignment/>
    </xf>
    <xf numFmtId="194" fontId="4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4" fillId="0" borderId="13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33" borderId="15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49" fillId="0" borderId="0" xfId="44" applyFont="1" applyFill="1" applyAlignment="1" applyProtection="1">
      <alignment/>
      <protection/>
    </xf>
    <xf numFmtId="0" fontId="4" fillId="0" borderId="0" xfId="0" applyFont="1" applyAlignment="1">
      <alignment horizontal="left"/>
    </xf>
    <xf numFmtId="3" fontId="4" fillId="33" borderId="1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3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" fontId="4" fillId="33" borderId="16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94" fontId="4" fillId="0" borderId="0" xfId="0" applyNumberFormat="1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194" fontId="4" fillId="0" borderId="0" xfId="0" applyNumberFormat="1" applyFont="1" applyAlignment="1" applyProtection="1">
      <alignment horizontal="right"/>
      <protection/>
    </xf>
    <xf numFmtId="0" fontId="1" fillId="0" borderId="0" xfId="0" applyFont="1" applyFill="1" applyAlignment="1" applyProtection="1">
      <alignment horizontal="right"/>
      <protection/>
    </xf>
    <xf numFmtId="0" fontId="1" fillId="33" borderId="0" xfId="0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6" fontId="4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4" fillId="33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92" fontId="4" fillId="33" borderId="0" xfId="0" applyNumberFormat="1" applyFont="1" applyFill="1" applyAlignment="1" applyProtection="1">
      <alignment/>
      <protection/>
    </xf>
    <xf numFmtId="9" fontId="4" fillId="0" borderId="0" xfId="0" applyNumberFormat="1" applyFont="1" applyFill="1" applyAlignment="1" applyProtection="1">
      <alignment horizontal="left"/>
      <protection/>
    </xf>
    <xf numFmtId="4" fontId="4" fillId="33" borderId="0" xfId="0" applyNumberFormat="1" applyFont="1" applyFill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3" fontId="4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11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3" fontId="4" fillId="0" borderId="0" xfId="46" applyNumberFormat="1" applyFont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3" fontId="4" fillId="0" borderId="12" xfId="0" applyNumberFormat="1" applyFont="1" applyBorder="1" applyAlignment="1" applyProtection="1">
      <alignment/>
      <protection/>
    </xf>
    <xf numFmtId="3" fontId="1" fillId="0" borderId="12" xfId="0" applyNumberFormat="1" applyFont="1" applyBorder="1" applyAlignment="1" applyProtection="1">
      <alignment/>
      <protection/>
    </xf>
    <xf numFmtId="3" fontId="1" fillId="34" borderId="12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3" fontId="4" fillId="0" borderId="0" xfId="0" applyNumberFormat="1" applyFont="1" applyFill="1" applyAlignment="1">
      <alignment horizontal="left"/>
    </xf>
    <xf numFmtId="195" fontId="4" fillId="0" borderId="0" xfId="0" applyNumberFormat="1" applyFont="1" applyFill="1" applyAlignment="1">
      <alignment horizontal="left"/>
    </xf>
    <xf numFmtId="196" fontId="4" fillId="0" borderId="0" xfId="0" applyNumberFormat="1" applyFont="1" applyFill="1" applyAlignment="1">
      <alignment horizontal="left"/>
    </xf>
    <xf numFmtId="3" fontId="4" fillId="0" borderId="0" xfId="0" applyNumberFormat="1" applyFont="1" applyAlignment="1">
      <alignment/>
    </xf>
    <xf numFmtId="0" fontId="2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7"/>
  <sheetViews>
    <sheetView showGridLines="0" zoomScale="120" zoomScaleNormal="120" zoomScalePageLayoutView="0" workbookViewId="0" topLeftCell="A37">
      <selection activeCell="D50" sqref="D50"/>
    </sheetView>
  </sheetViews>
  <sheetFormatPr defaultColWidth="9.77734375" defaultRowHeight="15"/>
  <cols>
    <col min="1" max="1" width="32.10546875" style="53" customWidth="1"/>
    <col min="2" max="2" width="10.77734375" style="52" customWidth="1"/>
    <col min="3" max="3" width="5.77734375" style="53" customWidth="1"/>
    <col min="4" max="4" width="10.77734375" style="53" customWidth="1"/>
    <col min="5" max="5" width="5.77734375" style="53" customWidth="1"/>
    <col min="6" max="6" width="10.77734375" style="52" customWidth="1"/>
    <col min="7" max="7" width="9.77734375" style="53" customWidth="1"/>
    <col min="8" max="9" width="10.77734375" style="53" customWidth="1"/>
    <col min="10" max="10" width="10.77734375" style="59" customWidth="1"/>
    <col min="11" max="14" width="10.77734375" style="53" customWidth="1"/>
    <col min="15" max="16384" width="9.77734375" style="53" customWidth="1"/>
  </cols>
  <sheetData>
    <row r="1" spans="1:15" s="56" customFormat="1" ht="15.75">
      <c r="A1" s="54" t="s">
        <v>108</v>
      </c>
      <c r="B1" s="55"/>
      <c r="F1" s="57" t="s">
        <v>109</v>
      </c>
      <c r="H1" s="58" t="s">
        <v>47</v>
      </c>
      <c r="I1" s="53"/>
      <c r="J1" s="59"/>
      <c r="L1" s="60" t="s">
        <v>79</v>
      </c>
      <c r="M1" s="61"/>
      <c r="N1" s="61"/>
      <c r="O1" s="61"/>
    </row>
    <row r="2" spans="1:15" ht="12.75">
      <c r="A2" s="62"/>
      <c r="H2" s="63" t="s">
        <v>11</v>
      </c>
      <c r="I2" s="53" t="s">
        <v>11</v>
      </c>
      <c r="L2" s="61"/>
      <c r="M2" s="61"/>
      <c r="N2" s="61"/>
      <c r="O2" s="61"/>
    </row>
    <row r="3" spans="1:15" ht="12.75">
      <c r="A3" s="62" t="s">
        <v>70</v>
      </c>
      <c r="H3" s="63" t="s">
        <v>50</v>
      </c>
      <c r="I3" s="63" t="s">
        <v>43</v>
      </c>
      <c r="J3" s="64" t="s">
        <v>44</v>
      </c>
      <c r="L3" s="65" t="s">
        <v>63</v>
      </c>
      <c r="M3" s="65" t="s">
        <v>65</v>
      </c>
      <c r="N3" s="65"/>
      <c r="O3" s="60" t="s">
        <v>66</v>
      </c>
    </row>
    <row r="4" spans="1:15" ht="12.75">
      <c r="A4" s="53" t="s">
        <v>11</v>
      </c>
      <c r="H4" s="53">
        <v>1</v>
      </c>
      <c r="I4" s="53">
        <v>5</v>
      </c>
      <c r="J4" s="53">
        <f>100-I4</f>
        <v>95</v>
      </c>
      <c r="L4" s="65" t="s">
        <v>64</v>
      </c>
      <c r="M4" s="65" t="s">
        <v>64</v>
      </c>
      <c r="N4" s="65"/>
      <c r="O4" s="60"/>
    </row>
    <row r="5" spans="1:15" s="61" customFormat="1" ht="12.75">
      <c r="A5" s="66" t="s">
        <v>17</v>
      </c>
      <c r="B5" s="67"/>
      <c r="D5" s="60" t="s">
        <v>38</v>
      </c>
      <c r="F5" s="68"/>
      <c r="H5" s="53">
        <f>H4+1</f>
        <v>2</v>
      </c>
      <c r="I5" s="53">
        <v>3</v>
      </c>
      <c r="J5" s="53">
        <f aca="true" t="shared" si="0" ref="J5:J14">J4-I5</f>
        <v>92</v>
      </c>
      <c r="L5" s="68">
        <v>0</v>
      </c>
      <c r="M5" s="68">
        <v>2400</v>
      </c>
      <c r="N5" s="68"/>
      <c r="O5" s="69">
        <v>0</v>
      </c>
    </row>
    <row r="6" spans="1:15" s="61" customFormat="1" ht="12.75">
      <c r="A6" s="69" t="s">
        <v>0</v>
      </c>
      <c r="B6" s="67">
        <v>39990</v>
      </c>
      <c r="C6" s="70" t="s">
        <v>53</v>
      </c>
      <c r="D6" s="70" t="s">
        <v>34</v>
      </c>
      <c r="H6" s="53">
        <f aca="true" t="shared" si="1" ref="H6:H14">H5+1</f>
        <v>3</v>
      </c>
      <c r="I6" s="53">
        <f>I5</f>
        <v>3</v>
      </c>
      <c r="J6" s="53">
        <f t="shared" si="0"/>
        <v>89</v>
      </c>
      <c r="L6" s="68">
        <v>2400</v>
      </c>
      <c r="M6" s="68">
        <v>59170</v>
      </c>
      <c r="N6" s="68"/>
      <c r="O6" s="69" t="s">
        <v>67</v>
      </c>
    </row>
    <row r="7" spans="1:15" s="61" customFormat="1" ht="12.75">
      <c r="A7" s="61" t="s">
        <v>1</v>
      </c>
      <c r="B7" s="67">
        <v>39990</v>
      </c>
      <c r="C7" s="70" t="s">
        <v>53</v>
      </c>
      <c r="D7" s="70" t="str">
        <f>D6</f>
        <v>inclusief BTW en BPM</v>
      </c>
      <c r="H7" s="53">
        <f t="shared" si="1"/>
        <v>4</v>
      </c>
      <c r="I7" s="53">
        <v>2.5</v>
      </c>
      <c r="J7" s="53">
        <f t="shared" si="0"/>
        <v>86.5</v>
      </c>
      <c r="L7" s="68">
        <f>M6</f>
        <v>59170</v>
      </c>
      <c r="M7" s="68">
        <v>109574</v>
      </c>
      <c r="N7" s="68"/>
      <c r="O7" s="71">
        <v>16568</v>
      </c>
    </row>
    <row r="8" spans="1:15" s="61" customFormat="1" ht="12.75">
      <c r="A8" s="61" t="s">
        <v>18</v>
      </c>
      <c r="B8" s="67">
        <v>4124</v>
      </c>
      <c r="C8" s="70" t="s">
        <v>52</v>
      </c>
      <c r="D8" s="70" t="s">
        <v>35</v>
      </c>
      <c r="H8" s="53">
        <f t="shared" si="1"/>
        <v>5</v>
      </c>
      <c r="I8" s="53">
        <v>2.5</v>
      </c>
      <c r="J8" s="53">
        <f t="shared" si="0"/>
        <v>84</v>
      </c>
      <c r="L8" s="68">
        <f>M7</f>
        <v>109574</v>
      </c>
      <c r="M8" s="68">
        <v>328721</v>
      </c>
      <c r="N8" s="68"/>
      <c r="O8" s="72" t="s">
        <v>110</v>
      </c>
    </row>
    <row r="9" spans="1:15" s="61" customFormat="1" ht="12.75">
      <c r="A9" s="61" t="s">
        <v>45</v>
      </c>
      <c r="B9" s="73">
        <v>100</v>
      </c>
      <c r="C9" s="70" t="s">
        <v>29</v>
      </c>
      <c r="D9" s="70" t="s">
        <v>46</v>
      </c>
      <c r="H9" s="53">
        <f t="shared" si="1"/>
        <v>6</v>
      </c>
      <c r="I9" s="53">
        <v>2.25</v>
      </c>
      <c r="J9" s="53">
        <f t="shared" si="0"/>
        <v>81.75</v>
      </c>
      <c r="L9" s="68">
        <f>M8</f>
        <v>328721</v>
      </c>
      <c r="M9" s="68"/>
      <c r="N9" s="68"/>
      <c r="O9" s="69">
        <v>0</v>
      </c>
    </row>
    <row r="10" spans="1:10" s="61" customFormat="1" ht="12.75">
      <c r="A10" s="61" t="s">
        <v>19</v>
      </c>
      <c r="B10" s="67">
        <v>15000</v>
      </c>
      <c r="C10" s="70" t="s">
        <v>52</v>
      </c>
      <c r="D10" s="70" t="s">
        <v>90</v>
      </c>
      <c r="H10" s="53">
        <f t="shared" si="1"/>
        <v>7</v>
      </c>
      <c r="I10" s="53">
        <v>2.25</v>
      </c>
      <c r="J10" s="53">
        <f t="shared" si="0"/>
        <v>79.5</v>
      </c>
    </row>
    <row r="11" spans="1:12" s="61" customFormat="1" ht="12.75">
      <c r="A11" s="74" t="s">
        <v>87</v>
      </c>
      <c r="B11" s="67">
        <v>48</v>
      </c>
      <c r="C11" s="70" t="s">
        <v>88</v>
      </c>
      <c r="D11" s="70"/>
      <c r="H11" s="53">
        <f t="shared" si="1"/>
        <v>8</v>
      </c>
      <c r="I11" s="53">
        <v>2.25</v>
      </c>
      <c r="J11" s="53">
        <f t="shared" si="0"/>
        <v>77.25</v>
      </c>
      <c r="L11" s="60" t="s">
        <v>105</v>
      </c>
    </row>
    <row r="12" spans="1:15" s="61" customFormat="1" ht="12.75">
      <c r="A12" s="61" t="s">
        <v>24</v>
      </c>
      <c r="B12" s="67">
        <v>800</v>
      </c>
      <c r="C12" s="70" t="s">
        <v>53</v>
      </c>
      <c r="D12" s="70" t="s">
        <v>33</v>
      </c>
      <c r="H12" s="53">
        <f t="shared" si="1"/>
        <v>9</v>
      </c>
      <c r="I12" s="53">
        <f>I11</f>
        <v>2.25</v>
      </c>
      <c r="J12" s="53">
        <f t="shared" si="0"/>
        <v>75</v>
      </c>
      <c r="L12" s="74" t="s">
        <v>100</v>
      </c>
      <c r="O12" s="74" t="s">
        <v>103</v>
      </c>
    </row>
    <row r="13" spans="1:15" s="61" customFormat="1" ht="12.75">
      <c r="A13" s="61" t="s">
        <v>40</v>
      </c>
      <c r="B13" s="67">
        <v>720</v>
      </c>
      <c r="C13" s="70" t="s">
        <v>53</v>
      </c>
      <c r="D13" s="70" t="s">
        <v>36</v>
      </c>
      <c r="H13" s="53">
        <f t="shared" si="1"/>
        <v>10</v>
      </c>
      <c r="I13" s="53">
        <v>1.444</v>
      </c>
      <c r="J13" s="53">
        <f t="shared" si="0"/>
        <v>73.556</v>
      </c>
      <c r="L13" s="74" t="s">
        <v>104</v>
      </c>
      <c r="O13" s="74" t="s">
        <v>98</v>
      </c>
    </row>
    <row r="14" spans="1:15" s="61" customFormat="1" ht="12.75">
      <c r="A14" s="61" t="s">
        <v>25</v>
      </c>
      <c r="B14" s="67">
        <v>1150</v>
      </c>
      <c r="C14" s="70" t="s">
        <v>53</v>
      </c>
      <c r="D14" s="70"/>
      <c r="H14" s="53">
        <f t="shared" si="1"/>
        <v>11</v>
      </c>
      <c r="I14" s="53">
        <f aca="true" t="shared" si="2" ref="I14:I21">I13</f>
        <v>1.444</v>
      </c>
      <c r="J14" s="53">
        <f t="shared" si="0"/>
        <v>72.112</v>
      </c>
      <c r="L14" s="74" t="s">
        <v>101</v>
      </c>
      <c r="O14" s="76" t="s">
        <v>95</v>
      </c>
    </row>
    <row r="15" spans="1:15" s="61" customFormat="1" ht="12.75">
      <c r="A15" s="61" t="s">
        <v>73</v>
      </c>
      <c r="B15" s="75">
        <v>2.9</v>
      </c>
      <c r="C15" s="70" t="s">
        <v>29</v>
      </c>
      <c r="D15" s="70"/>
      <c r="H15" s="53">
        <f aca="true" t="shared" si="3" ref="H15:H50">H14+1</f>
        <v>12</v>
      </c>
      <c r="I15" s="53">
        <f t="shared" si="2"/>
        <v>1.444</v>
      </c>
      <c r="J15" s="53">
        <f aca="true" t="shared" si="4" ref="J15:J50">J14-I15</f>
        <v>70.66799999999999</v>
      </c>
      <c r="L15" s="74" t="s">
        <v>102</v>
      </c>
      <c r="O15" s="74" t="s">
        <v>99</v>
      </c>
    </row>
    <row r="16" spans="1:10" s="61" customFormat="1" ht="12.75">
      <c r="A16" s="61" t="s">
        <v>20</v>
      </c>
      <c r="B16" s="67">
        <v>7</v>
      </c>
      <c r="C16" s="70" t="s">
        <v>16</v>
      </c>
      <c r="D16" s="70"/>
      <c r="H16" s="53">
        <f t="shared" si="3"/>
        <v>13</v>
      </c>
      <c r="I16" s="53">
        <f t="shared" si="2"/>
        <v>1.444</v>
      </c>
      <c r="J16" s="53">
        <f t="shared" si="4"/>
        <v>69.22399999999999</v>
      </c>
    </row>
    <row r="17" spans="1:10" s="61" customFormat="1" ht="12.75">
      <c r="A17" s="61" t="s">
        <v>21</v>
      </c>
      <c r="B17" s="77">
        <v>1.53</v>
      </c>
      <c r="C17" s="70" t="s">
        <v>52</v>
      </c>
      <c r="D17" s="70" t="s">
        <v>32</v>
      </c>
      <c r="H17" s="53">
        <f t="shared" si="3"/>
        <v>14</v>
      </c>
      <c r="I17" s="53">
        <f t="shared" si="2"/>
        <v>1.444</v>
      </c>
      <c r="J17" s="53">
        <f t="shared" si="4"/>
        <v>67.77999999999999</v>
      </c>
    </row>
    <row r="18" spans="1:10" s="61" customFormat="1" ht="12.75">
      <c r="A18" s="61" t="s">
        <v>22</v>
      </c>
      <c r="B18" s="67">
        <v>10000</v>
      </c>
      <c r="C18" s="70" t="s">
        <v>51</v>
      </c>
      <c r="D18" s="70"/>
      <c r="H18" s="53">
        <f t="shared" si="3"/>
        <v>15</v>
      </c>
      <c r="I18" s="53">
        <f t="shared" si="2"/>
        <v>1.444</v>
      </c>
      <c r="J18" s="53">
        <f t="shared" si="4"/>
        <v>66.33599999999998</v>
      </c>
    </row>
    <row r="19" spans="1:10" s="61" customFormat="1" ht="12.75">
      <c r="A19" s="61" t="s">
        <v>23</v>
      </c>
      <c r="B19" s="67">
        <v>20000</v>
      </c>
      <c r="C19" s="70" t="s">
        <v>51</v>
      </c>
      <c r="D19" s="70" t="s">
        <v>37</v>
      </c>
      <c r="H19" s="53">
        <f t="shared" si="3"/>
        <v>16</v>
      </c>
      <c r="I19" s="53">
        <f t="shared" si="2"/>
        <v>1.444</v>
      </c>
      <c r="J19" s="53">
        <f t="shared" si="4"/>
        <v>64.89199999999998</v>
      </c>
    </row>
    <row r="20" spans="1:10" s="61" customFormat="1" ht="12.75">
      <c r="A20" s="61" t="s">
        <v>27</v>
      </c>
      <c r="B20" s="67">
        <v>19</v>
      </c>
      <c r="C20" s="70" t="s">
        <v>28</v>
      </c>
      <c r="D20" s="70"/>
      <c r="F20" s="68"/>
      <c r="H20" s="53">
        <f t="shared" si="3"/>
        <v>17</v>
      </c>
      <c r="I20" s="53">
        <f t="shared" si="2"/>
        <v>1.444</v>
      </c>
      <c r="J20" s="53">
        <f t="shared" si="4"/>
        <v>63.44799999999998</v>
      </c>
    </row>
    <row r="21" spans="1:10" s="61" customFormat="1" ht="12.75" customHeight="1">
      <c r="A21" s="61" t="s">
        <v>61</v>
      </c>
      <c r="B21" s="67">
        <v>22</v>
      </c>
      <c r="C21" s="70" t="s">
        <v>29</v>
      </c>
      <c r="D21" s="70"/>
      <c r="F21" s="68"/>
      <c r="H21" s="53">
        <f t="shared" si="3"/>
        <v>18</v>
      </c>
      <c r="I21" s="53">
        <f t="shared" si="2"/>
        <v>1.444</v>
      </c>
      <c r="J21" s="53">
        <f t="shared" si="4"/>
        <v>62.00399999999998</v>
      </c>
    </row>
    <row r="22" spans="1:10" s="61" customFormat="1" ht="12.75" customHeight="1">
      <c r="A22" s="40" t="s">
        <v>62</v>
      </c>
      <c r="B22" s="67">
        <v>0</v>
      </c>
      <c r="C22" s="70" t="s">
        <v>52</v>
      </c>
      <c r="D22" s="70" t="str">
        <f>'eenmanszaak met BTW-aftrek'!D21</f>
        <v>KIA op bestelauto / MIA bij bijvoorbeeld EV</v>
      </c>
      <c r="F22" s="68"/>
      <c r="H22" s="53">
        <f t="shared" si="3"/>
        <v>19</v>
      </c>
      <c r="I22" s="53">
        <v>0.917</v>
      </c>
      <c r="J22" s="53">
        <f t="shared" si="4"/>
        <v>61.086999999999975</v>
      </c>
    </row>
    <row r="23" spans="1:11" s="61" customFormat="1" ht="12.75">
      <c r="A23" s="61" t="s">
        <v>30</v>
      </c>
      <c r="B23" s="77">
        <v>49.5</v>
      </c>
      <c r="C23" s="70" t="s">
        <v>29</v>
      </c>
      <c r="D23" s="70"/>
      <c r="F23" s="68"/>
      <c r="H23" s="53">
        <f t="shared" si="3"/>
        <v>20</v>
      </c>
      <c r="I23" s="53">
        <f aca="true" t="shared" si="5" ref="I23:I33">I22</f>
        <v>0.917</v>
      </c>
      <c r="J23" s="53">
        <f t="shared" si="4"/>
        <v>60.16999999999997</v>
      </c>
      <c r="K23" s="53"/>
    </row>
    <row r="24" spans="1:11" s="61" customFormat="1" ht="12.75">
      <c r="A24" s="61" t="s">
        <v>31</v>
      </c>
      <c r="B24" s="75">
        <v>25</v>
      </c>
      <c r="C24" s="70" t="s">
        <v>29</v>
      </c>
      <c r="D24" s="70"/>
      <c r="F24" s="68"/>
      <c r="H24" s="53">
        <f t="shared" si="3"/>
        <v>21</v>
      </c>
      <c r="I24" s="53">
        <f t="shared" si="5"/>
        <v>0.917</v>
      </c>
      <c r="J24" s="53">
        <f t="shared" si="4"/>
        <v>59.25299999999997</v>
      </c>
      <c r="K24" s="53"/>
    </row>
    <row r="25" spans="8:10" ht="12.75">
      <c r="H25" s="53">
        <f t="shared" si="3"/>
        <v>22</v>
      </c>
      <c r="I25" s="53">
        <f t="shared" si="5"/>
        <v>0.917</v>
      </c>
      <c r="J25" s="53">
        <f t="shared" si="4"/>
        <v>58.33599999999997</v>
      </c>
    </row>
    <row r="26" spans="1:10" ht="12.75">
      <c r="A26" s="78" t="s">
        <v>68</v>
      </c>
      <c r="B26" s="79"/>
      <c r="C26" s="80"/>
      <c r="D26" s="80"/>
      <c r="E26" s="80"/>
      <c r="F26" s="79"/>
      <c r="H26" s="53">
        <f t="shared" si="3"/>
        <v>23</v>
      </c>
      <c r="I26" s="53">
        <f t="shared" si="5"/>
        <v>0.917</v>
      </c>
      <c r="J26" s="53">
        <f t="shared" si="4"/>
        <v>57.41899999999997</v>
      </c>
    </row>
    <row r="27" spans="2:10" ht="12.75">
      <c r="B27" s="81" t="s">
        <v>3</v>
      </c>
      <c r="C27" s="63"/>
      <c r="D27" s="82" t="s">
        <v>41</v>
      </c>
      <c r="E27" s="63"/>
      <c r="F27" s="81" t="s">
        <v>4</v>
      </c>
      <c r="H27" s="53">
        <f t="shared" si="3"/>
        <v>24</v>
      </c>
      <c r="I27" s="53">
        <f t="shared" si="5"/>
        <v>0.917</v>
      </c>
      <c r="J27" s="53">
        <f t="shared" si="4"/>
        <v>56.50199999999997</v>
      </c>
    </row>
    <row r="28" spans="1:10" ht="12.75">
      <c r="A28" s="83" t="s">
        <v>8</v>
      </c>
      <c r="B28" s="52">
        <f>(B6-B10)/(B11/12)</f>
        <v>6247.5</v>
      </c>
      <c r="C28" s="52"/>
      <c r="D28" s="52"/>
      <c r="E28" s="52"/>
      <c r="H28" s="53">
        <f t="shared" si="3"/>
        <v>25</v>
      </c>
      <c r="I28" s="53">
        <f t="shared" si="5"/>
        <v>0.917</v>
      </c>
      <c r="J28" s="53">
        <f t="shared" si="4"/>
        <v>55.584999999999965</v>
      </c>
    </row>
    <row r="29" spans="1:10" ht="12.75">
      <c r="A29" s="83" t="s">
        <v>71</v>
      </c>
      <c r="B29" s="52">
        <f>($B$6+$B$10)/2*$B$15/100</f>
        <v>797.355</v>
      </c>
      <c r="C29" s="52"/>
      <c r="D29" s="52"/>
      <c r="E29" s="52"/>
      <c r="G29" s="53" t="s">
        <v>11</v>
      </c>
      <c r="H29" s="53">
        <f t="shared" si="3"/>
        <v>26</v>
      </c>
      <c r="I29" s="53">
        <f t="shared" si="5"/>
        <v>0.917</v>
      </c>
      <c r="J29" s="53">
        <f t="shared" si="4"/>
        <v>54.667999999999964</v>
      </c>
    </row>
    <row r="30" spans="1:10" ht="12.75">
      <c r="A30" s="83" t="s">
        <v>39</v>
      </c>
      <c r="B30" s="84">
        <f>B12+B13++B14</f>
        <v>2670</v>
      </c>
      <c r="C30" s="52"/>
      <c r="D30" s="52"/>
      <c r="E30" s="52"/>
      <c r="G30" s="53" t="s">
        <v>11</v>
      </c>
      <c r="H30" s="53">
        <f t="shared" si="3"/>
        <v>27</v>
      </c>
      <c r="I30" s="53">
        <f t="shared" si="5"/>
        <v>0.917</v>
      </c>
      <c r="J30" s="53">
        <f t="shared" si="4"/>
        <v>53.75099999999996</v>
      </c>
    </row>
    <row r="31" spans="1:10" ht="12.75">
      <c r="A31" s="83" t="s">
        <v>2</v>
      </c>
      <c r="B31" s="85">
        <f>(B18+B19)/100*B16*B17</f>
        <v>3213</v>
      </c>
      <c r="C31" s="52"/>
      <c r="D31" s="52" t="s">
        <v>11</v>
      </c>
      <c r="E31" s="52"/>
      <c r="G31" s="53" t="s">
        <v>11</v>
      </c>
      <c r="H31" s="53">
        <f t="shared" si="3"/>
        <v>28</v>
      </c>
      <c r="I31" s="53">
        <f t="shared" si="5"/>
        <v>0.917</v>
      </c>
      <c r="J31" s="53">
        <f t="shared" si="4"/>
        <v>52.83399999999996</v>
      </c>
    </row>
    <row r="32" spans="1:10" ht="12.75">
      <c r="A32" s="83" t="s">
        <v>5</v>
      </c>
      <c r="B32" s="52">
        <f>SUM(B28:B31)</f>
        <v>12927.855</v>
      </c>
      <c r="C32" s="52"/>
      <c r="D32" s="52"/>
      <c r="E32" s="52"/>
      <c r="G32" s="53" t="s">
        <v>11</v>
      </c>
      <c r="H32" s="53">
        <f t="shared" si="3"/>
        <v>29</v>
      </c>
      <c r="I32" s="53">
        <f t="shared" si="5"/>
        <v>0.917</v>
      </c>
      <c r="J32" s="53">
        <f t="shared" si="4"/>
        <v>51.91699999999996</v>
      </c>
    </row>
    <row r="33" spans="1:10" ht="12.75">
      <c r="A33" s="83" t="s">
        <v>6</v>
      </c>
      <c r="B33" s="52">
        <f>B19*-B20/100</f>
        <v>-3800</v>
      </c>
      <c r="C33" s="52"/>
      <c r="D33" s="52">
        <f>-B33</f>
        <v>3800</v>
      </c>
      <c r="E33" s="52"/>
      <c r="F33" s="52" t="s">
        <v>11</v>
      </c>
      <c r="G33" s="53" t="s">
        <v>11</v>
      </c>
      <c r="H33" s="53">
        <f t="shared" si="3"/>
        <v>30</v>
      </c>
      <c r="I33" s="53">
        <f t="shared" si="5"/>
        <v>0.917</v>
      </c>
      <c r="J33" s="53">
        <f t="shared" si="4"/>
        <v>50.99999999999996</v>
      </c>
    </row>
    <row r="34" spans="1:10" ht="12.75">
      <c r="A34" s="86" t="s">
        <v>77</v>
      </c>
      <c r="B34" s="52">
        <f>B19*(B20-19)/100*B23/100</f>
        <v>0</v>
      </c>
      <c r="C34" s="52"/>
      <c r="D34" s="87">
        <f>D33*-B24/100</f>
        <v>-950</v>
      </c>
      <c r="E34" s="52"/>
      <c r="H34" s="53">
        <f t="shared" si="3"/>
        <v>31</v>
      </c>
      <c r="I34" s="53">
        <v>0.833</v>
      </c>
      <c r="J34" s="53">
        <f t="shared" si="4"/>
        <v>50.16699999999996</v>
      </c>
    </row>
    <row r="35" spans="1:10" ht="12.75">
      <c r="A35" s="83" t="s">
        <v>14</v>
      </c>
      <c r="B35" s="88"/>
      <c r="C35" s="52"/>
      <c r="D35" s="88">
        <f>(D33+D34)*-0.269</f>
        <v>-766.6500000000001</v>
      </c>
      <c r="E35" s="52"/>
      <c r="F35" s="88"/>
      <c r="H35" s="53">
        <f t="shared" si="3"/>
        <v>32</v>
      </c>
      <c r="I35" s="53">
        <f aca="true" t="shared" si="6" ref="I35:I45">I34</f>
        <v>0.833</v>
      </c>
      <c r="J35" s="53">
        <f t="shared" si="4"/>
        <v>49.33399999999996</v>
      </c>
    </row>
    <row r="36" spans="3:10" ht="12.75">
      <c r="C36" s="52"/>
      <c r="D36" s="52"/>
      <c r="E36" s="52"/>
      <c r="H36" s="53">
        <f t="shared" si="3"/>
        <v>33</v>
      </c>
      <c r="I36" s="53">
        <f t="shared" si="6"/>
        <v>0.833</v>
      </c>
      <c r="J36" s="53">
        <f t="shared" si="4"/>
        <v>48.50099999999996</v>
      </c>
    </row>
    <row r="37" spans="1:10" ht="13.5" thickBot="1">
      <c r="A37" s="83" t="s">
        <v>9</v>
      </c>
      <c r="B37" s="89">
        <f>SUM(B32:B36)</f>
        <v>9127.855</v>
      </c>
      <c r="C37" s="52"/>
      <c r="D37" s="89">
        <f>SUM(D32:D36)</f>
        <v>2083.35</v>
      </c>
      <c r="E37" s="52"/>
      <c r="F37" s="89">
        <f>SUM(B37+D37)</f>
        <v>11211.205</v>
      </c>
      <c r="H37" s="53">
        <f t="shared" si="3"/>
        <v>34</v>
      </c>
      <c r="I37" s="53">
        <f t="shared" si="6"/>
        <v>0.833</v>
      </c>
      <c r="J37" s="53">
        <f t="shared" si="4"/>
        <v>47.667999999999964</v>
      </c>
    </row>
    <row r="38" spans="2:10" ht="13.5" thickTop="1">
      <c r="B38" s="88"/>
      <c r="C38" s="52"/>
      <c r="D38" s="88"/>
      <c r="E38" s="52"/>
      <c r="F38" s="88"/>
      <c r="H38" s="53">
        <f t="shared" si="3"/>
        <v>35</v>
      </c>
      <c r="I38" s="53">
        <f t="shared" si="6"/>
        <v>0.833</v>
      </c>
      <c r="J38" s="53">
        <f t="shared" si="4"/>
        <v>46.834999999999965</v>
      </c>
    </row>
    <row r="39" spans="1:10" ht="13.5" thickBot="1">
      <c r="A39" s="53" t="s">
        <v>10</v>
      </c>
      <c r="B39" s="88"/>
      <c r="C39" s="52"/>
      <c r="D39" s="88"/>
      <c r="E39" s="52"/>
      <c r="F39" s="90">
        <f>F37*(B11/12)</f>
        <v>44844.82</v>
      </c>
      <c r="H39" s="53">
        <f t="shared" si="3"/>
        <v>36</v>
      </c>
      <c r="I39" s="53">
        <f t="shared" si="6"/>
        <v>0.833</v>
      </c>
      <c r="J39" s="53">
        <f t="shared" si="4"/>
        <v>46.00199999999997</v>
      </c>
    </row>
    <row r="40" spans="2:10" ht="13.5" thickTop="1">
      <c r="B40" s="88"/>
      <c r="C40" s="52"/>
      <c r="D40" s="88"/>
      <c r="E40" s="52"/>
      <c r="F40" s="88"/>
      <c r="H40" s="53">
        <f t="shared" si="3"/>
        <v>37</v>
      </c>
      <c r="I40" s="53">
        <f t="shared" si="6"/>
        <v>0.833</v>
      </c>
      <c r="J40" s="53">
        <f t="shared" si="4"/>
        <v>45.16899999999997</v>
      </c>
    </row>
    <row r="41" spans="1:10" ht="12.75">
      <c r="A41" s="78" t="s">
        <v>42</v>
      </c>
      <c r="B41" s="79"/>
      <c r="C41" s="80"/>
      <c r="D41" s="80"/>
      <c r="E41" s="80"/>
      <c r="F41" s="79"/>
      <c r="H41" s="53">
        <f t="shared" si="3"/>
        <v>38</v>
      </c>
      <c r="I41" s="53">
        <f t="shared" si="6"/>
        <v>0.833</v>
      </c>
      <c r="J41" s="53">
        <f t="shared" si="4"/>
        <v>44.33599999999997</v>
      </c>
    </row>
    <row r="42" spans="2:10" ht="12.75">
      <c r="B42" s="81" t="s">
        <v>7</v>
      </c>
      <c r="D42" s="82" t="s">
        <v>41</v>
      </c>
      <c r="F42" s="81" t="s">
        <v>4</v>
      </c>
      <c r="H42" s="53">
        <f t="shared" si="3"/>
        <v>39</v>
      </c>
      <c r="I42" s="53">
        <f t="shared" si="6"/>
        <v>0.833</v>
      </c>
      <c r="J42" s="53">
        <f t="shared" si="4"/>
        <v>43.50299999999997</v>
      </c>
    </row>
    <row r="43" spans="1:10" ht="12.75">
      <c r="A43" s="83" t="s">
        <v>8</v>
      </c>
      <c r="C43" s="52"/>
      <c r="D43" s="52">
        <f>(((B6-B8*B9/100)*100/121+B8*B9/100)-((B10-J135)*100/121+J135))/(B11/12)</f>
        <v>5276.83899966942</v>
      </c>
      <c r="E43" s="52"/>
      <c r="H43" s="53">
        <f t="shared" si="3"/>
        <v>40</v>
      </c>
      <c r="I43" s="53">
        <f t="shared" si="6"/>
        <v>0.833</v>
      </c>
      <c r="J43" s="53">
        <f t="shared" si="4"/>
        <v>42.66999999999997</v>
      </c>
    </row>
    <row r="44" spans="1:10" ht="12.75">
      <c r="A44" s="83" t="s">
        <v>71</v>
      </c>
      <c r="C44" s="52"/>
      <c r="D44" s="52">
        <f>(((($B$6-$B$8*$B$9/100)*100/121+$B$8*$B$9/100))+$B$10)/2*$B$15/100</f>
        <v>707.0971735537189</v>
      </c>
      <c r="E44" s="52"/>
      <c r="H44" s="53">
        <f t="shared" si="3"/>
        <v>41</v>
      </c>
      <c r="I44" s="53">
        <f t="shared" si="6"/>
        <v>0.833</v>
      </c>
      <c r="J44" s="53">
        <f t="shared" si="4"/>
        <v>41.836999999999975</v>
      </c>
    </row>
    <row r="45" spans="1:10" ht="12.75">
      <c r="A45" s="83" t="str">
        <f>A30</f>
        <v>Verzekering/MRB/onderhoud</v>
      </c>
      <c r="C45" s="52"/>
      <c r="D45" s="52">
        <f>B12*100/121+B13+B14</f>
        <v>2531.1570247933887</v>
      </c>
      <c r="E45" s="52"/>
      <c r="F45" s="52" t="s">
        <v>11</v>
      </c>
      <c r="H45" s="53">
        <f t="shared" si="3"/>
        <v>42</v>
      </c>
      <c r="I45" s="53">
        <f t="shared" si="6"/>
        <v>0.833</v>
      </c>
      <c r="J45" s="53">
        <f t="shared" si="4"/>
        <v>41.00399999999998</v>
      </c>
    </row>
    <row r="46" spans="1:10" ht="12.75">
      <c r="A46" s="83" t="str">
        <f>A31</f>
        <v>Brandstof</v>
      </c>
      <c r="C46" s="52"/>
      <c r="D46" s="52">
        <f>B31*100/121</f>
        <v>2655.371900826446</v>
      </c>
      <c r="E46" s="52"/>
      <c r="H46" s="53">
        <f t="shared" si="3"/>
        <v>43</v>
      </c>
      <c r="I46" s="53">
        <v>0.75</v>
      </c>
      <c r="J46" s="53">
        <f t="shared" si="4"/>
        <v>40.25399999999998</v>
      </c>
    </row>
    <row r="47" spans="1:10" ht="12.75">
      <c r="A47" s="83" t="s">
        <v>69</v>
      </c>
      <c r="C47" s="52"/>
      <c r="D47" s="52">
        <f>0.027*B7</f>
        <v>1079.73</v>
      </c>
      <c r="E47" s="52"/>
      <c r="H47" s="53">
        <f t="shared" si="3"/>
        <v>44</v>
      </c>
      <c r="I47" s="53">
        <v>0.75</v>
      </c>
      <c r="J47" s="53">
        <f t="shared" si="4"/>
        <v>39.50399999999998</v>
      </c>
    </row>
    <row r="48" spans="1:10" ht="12.75">
      <c r="A48" s="53" t="str">
        <f>A34</f>
        <v>Inkomsten-/Vennootschapsbelasting </v>
      </c>
      <c r="C48" s="52"/>
      <c r="D48" s="52">
        <f>(SUM(D43:D47)+B22)*-B24/100</f>
        <v>-3062.5487747107436</v>
      </c>
      <c r="E48" s="52" t="s">
        <v>11</v>
      </c>
      <c r="F48" s="52" t="s">
        <v>11</v>
      </c>
      <c r="G48" s="52" t="s">
        <v>11</v>
      </c>
      <c r="H48" s="53">
        <f t="shared" si="3"/>
        <v>45</v>
      </c>
      <c r="I48" s="53">
        <v>0.75</v>
      </c>
      <c r="J48" s="53">
        <f t="shared" si="4"/>
        <v>38.75399999999998</v>
      </c>
    </row>
    <row r="49" spans="1:10" ht="12.75">
      <c r="A49" s="53" t="str">
        <f>A35</f>
        <v>Inkomstenbelasting box 2</v>
      </c>
      <c r="D49" s="52">
        <f>SUM(D43:D48)*-0.269</f>
        <v>-2471.47686119157</v>
      </c>
      <c r="F49" s="52" t="s">
        <v>11</v>
      </c>
      <c r="G49" s="53" t="s">
        <v>11</v>
      </c>
      <c r="H49" s="53">
        <f t="shared" si="3"/>
        <v>46</v>
      </c>
      <c r="I49" s="53">
        <v>0.75</v>
      </c>
      <c r="J49" s="53">
        <f t="shared" si="4"/>
        <v>38.00399999999998</v>
      </c>
    </row>
    <row r="50" spans="1:10" ht="12.75">
      <c r="A50" s="83" t="s">
        <v>48</v>
      </c>
      <c r="B50" s="52">
        <f>IF(B18&gt;500,B7*B21/100*B23/100,0)</f>
        <v>4354.911</v>
      </c>
      <c r="C50" s="52"/>
      <c r="D50" s="52"/>
      <c r="E50" s="52"/>
      <c r="F50" s="52" t="s">
        <v>11</v>
      </c>
      <c r="H50" s="53">
        <f t="shared" si="3"/>
        <v>47</v>
      </c>
      <c r="I50" s="53">
        <v>0.75</v>
      </c>
      <c r="J50" s="53">
        <f t="shared" si="4"/>
        <v>37.25399999999998</v>
      </c>
    </row>
    <row r="51" spans="1:10" ht="13.5" thickBot="1">
      <c r="A51" s="83" t="s">
        <v>12</v>
      </c>
      <c r="B51" s="89">
        <f>SUM(B43:B50)</f>
        <v>4354.911</v>
      </c>
      <c r="C51" s="52"/>
      <c r="D51" s="89">
        <f>SUM(D43:D50)</f>
        <v>6716.169462940661</v>
      </c>
      <c r="E51" s="52"/>
      <c r="F51" s="89">
        <f>SUM(B51+D51)</f>
        <v>11071.080462940661</v>
      </c>
      <c r="G51" s="53" t="s">
        <v>76</v>
      </c>
      <c r="H51" s="53">
        <f aca="true" t="shared" si="7" ref="H51:H66">H50+1</f>
        <v>48</v>
      </c>
      <c r="I51" s="53">
        <v>0.75</v>
      </c>
      <c r="J51" s="53">
        <f aca="true" t="shared" si="8" ref="J51:J66">J50-I51</f>
        <v>36.50399999999998</v>
      </c>
    </row>
    <row r="52" spans="2:10" ht="13.5" thickTop="1">
      <c r="B52" s="88"/>
      <c r="C52" s="52"/>
      <c r="D52" s="88"/>
      <c r="E52" s="52"/>
      <c r="F52" s="88"/>
      <c r="H52" s="53">
        <f t="shared" si="7"/>
        <v>49</v>
      </c>
      <c r="I52" s="53">
        <v>0.75</v>
      </c>
      <c r="J52" s="53">
        <f t="shared" si="8"/>
        <v>35.75399999999998</v>
      </c>
    </row>
    <row r="53" spans="1:10" ht="13.5" thickBot="1">
      <c r="A53" s="53" t="s">
        <v>15</v>
      </c>
      <c r="B53" s="52" t="s">
        <v>11</v>
      </c>
      <c r="F53" s="91">
        <f>F51+(F51+B22*B24/100+(B22*B24/100)*-0.2625)*((B11-12)/12)</f>
        <v>44284.321851762645</v>
      </c>
      <c r="G53" s="53" t="s">
        <v>11</v>
      </c>
      <c r="H53" s="53">
        <f t="shared" si="7"/>
        <v>50</v>
      </c>
      <c r="I53" s="53">
        <v>0.75</v>
      </c>
      <c r="J53" s="53">
        <f t="shared" si="8"/>
        <v>35.00399999999998</v>
      </c>
    </row>
    <row r="54" spans="1:10" ht="13.5" thickTop="1">
      <c r="A54" s="92"/>
      <c r="B54" s="88"/>
      <c r="C54" s="92"/>
      <c r="D54" s="92"/>
      <c r="E54" s="92"/>
      <c r="F54" s="93" t="s">
        <v>11</v>
      </c>
      <c r="G54" s="53" t="s">
        <v>11</v>
      </c>
      <c r="H54" s="53">
        <f t="shared" si="7"/>
        <v>51</v>
      </c>
      <c r="I54" s="53">
        <v>0.75</v>
      </c>
      <c r="J54" s="53">
        <f t="shared" si="8"/>
        <v>34.25399999999998</v>
      </c>
    </row>
    <row r="55" spans="6:10" ht="12.75">
      <c r="F55" s="53"/>
      <c r="G55" s="53" t="s">
        <v>11</v>
      </c>
      <c r="H55" s="53">
        <f t="shared" si="7"/>
        <v>52</v>
      </c>
      <c r="I55" s="53">
        <v>0.75</v>
      </c>
      <c r="J55" s="53">
        <f t="shared" si="8"/>
        <v>33.50399999999998</v>
      </c>
    </row>
    <row r="56" spans="1:10" ht="12.75">
      <c r="A56" s="94" t="s">
        <v>54</v>
      </c>
      <c r="B56" s="95"/>
      <c r="C56" s="96"/>
      <c r="D56" s="97" t="str">
        <f>IF((F53-F39)&gt;0,"in privé","in de B.V.")</f>
        <v>in de B.V.</v>
      </c>
      <c r="F56" s="53"/>
      <c r="H56" s="53">
        <f t="shared" si="7"/>
        <v>53</v>
      </c>
      <c r="I56" s="53">
        <v>0.75</v>
      </c>
      <c r="J56" s="53">
        <f t="shared" si="8"/>
        <v>32.75399999999998</v>
      </c>
    </row>
    <row r="57" spans="6:10" ht="12.75">
      <c r="F57" s="53"/>
      <c r="H57" s="53">
        <f t="shared" si="7"/>
        <v>54</v>
      </c>
      <c r="I57" s="53">
        <v>0.75</v>
      </c>
      <c r="J57" s="53">
        <f t="shared" si="8"/>
        <v>32.00399999999998</v>
      </c>
    </row>
    <row r="58" spans="6:10" ht="12.75">
      <c r="F58" s="53"/>
      <c r="H58" s="53">
        <f t="shared" si="7"/>
        <v>55</v>
      </c>
      <c r="I58" s="53">
        <v>0.5</v>
      </c>
      <c r="J58" s="53">
        <f t="shared" si="8"/>
        <v>31.503999999999976</v>
      </c>
    </row>
    <row r="59" spans="1:10" ht="12.75">
      <c r="A59" s="51" t="s">
        <v>58</v>
      </c>
      <c r="F59" s="53"/>
      <c r="H59" s="53">
        <f t="shared" si="7"/>
        <v>56</v>
      </c>
      <c r="I59" s="53">
        <v>0.5</v>
      </c>
      <c r="J59" s="53">
        <f t="shared" si="8"/>
        <v>31.003999999999976</v>
      </c>
    </row>
    <row r="60" spans="1:10" ht="12.75">
      <c r="A60" s="51" t="s">
        <v>59</v>
      </c>
      <c r="F60" s="53"/>
      <c r="H60" s="53">
        <f t="shared" si="7"/>
        <v>57</v>
      </c>
      <c r="I60" s="53">
        <v>0.5</v>
      </c>
      <c r="J60" s="53">
        <f t="shared" si="8"/>
        <v>30.503999999999976</v>
      </c>
    </row>
    <row r="61" spans="1:10" ht="12.75">
      <c r="A61" s="51" t="s">
        <v>80</v>
      </c>
      <c r="F61" s="53"/>
      <c r="H61" s="53">
        <f t="shared" si="7"/>
        <v>58</v>
      </c>
      <c r="I61" s="53">
        <v>0.5</v>
      </c>
      <c r="J61" s="53">
        <f t="shared" si="8"/>
        <v>30.003999999999976</v>
      </c>
    </row>
    <row r="62" spans="1:10" ht="12.75">
      <c r="A62" s="51" t="s">
        <v>11</v>
      </c>
      <c r="F62" s="53"/>
      <c r="H62" s="53">
        <f t="shared" si="7"/>
        <v>59</v>
      </c>
      <c r="I62" s="53">
        <v>0.5</v>
      </c>
      <c r="J62" s="53">
        <f t="shared" si="8"/>
        <v>29.503999999999976</v>
      </c>
    </row>
    <row r="63" spans="1:10" ht="12.75">
      <c r="A63" s="51" t="s">
        <v>74</v>
      </c>
      <c r="F63" s="53"/>
      <c r="H63" s="53">
        <f t="shared" si="7"/>
        <v>60</v>
      </c>
      <c r="I63" s="53">
        <v>0.5</v>
      </c>
      <c r="J63" s="53">
        <f t="shared" si="8"/>
        <v>29.003999999999976</v>
      </c>
    </row>
    <row r="64" spans="1:10" ht="12.75">
      <c r="A64" s="51" t="s">
        <v>75</v>
      </c>
      <c r="F64" s="53"/>
      <c r="H64" s="53">
        <f t="shared" si="7"/>
        <v>61</v>
      </c>
      <c r="I64" s="53">
        <v>0.5</v>
      </c>
      <c r="J64" s="53">
        <f t="shared" si="8"/>
        <v>28.503999999999976</v>
      </c>
    </row>
    <row r="65" spans="1:10" ht="12.75">
      <c r="A65" s="51"/>
      <c r="F65" s="53"/>
      <c r="H65" s="53">
        <f t="shared" si="7"/>
        <v>62</v>
      </c>
      <c r="I65" s="53">
        <v>0.5</v>
      </c>
      <c r="J65" s="53">
        <f t="shared" si="8"/>
        <v>28.003999999999976</v>
      </c>
    </row>
    <row r="66" spans="1:10" ht="12.75">
      <c r="A66" s="51" t="s">
        <v>111</v>
      </c>
      <c r="F66" s="53"/>
      <c r="H66" s="53">
        <f t="shared" si="7"/>
        <v>63</v>
      </c>
      <c r="I66" s="53">
        <v>0.5</v>
      </c>
      <c r="J66" s="53">
        <f t="shared" si="8"/>
        <v>27.503999999999976</v>
      </c>
    </row>
    <row r="67" spans="1:10" ht="12.75">
      <c r="A67" s="51" t="s">
        <v>92</v>
      </c>
      <c r="F67" s="53"/>
      <c r="H67" s="53">
        <f>H66+1</f>
        <v>64</v>
      </c>
      <c r="I67" s="53">
        <v>0.5</v>
      </c>
      <c r="J67" s="53">
        <f>J66-I67</f>
        <v>27.003999999999976</v>
      </c>
    </row>
    <row r="68" spans="1:10" ht="12.75">
      <c r="A68" s="51" t="s">
        <v>93</v>
      </c>
      <c r="F68" s="53"/>
      <c r="H68" s="53">
        <f>H67+1</f>
        <v>65</v>
      </c>
      <c r="I68" s="53">
        <v>0.5</v>
      </c>
      <c r="J68" s="53">
        <f>J67-I68</f>
        <v>26.503999999999976</v>
      </c>
    </row>
    <row r="69" spans="6:10" ht="12.75">
      <c r="F69" s="53"/>
      <c r="H69" s="53">
        <f>H68+1</f>
        <v>66</v>
      </c>
      <c r="I69" s="53">
        <v>0.5</v>
      </c>
      <c r="J69" s="53">
        <f>J68-I69</f>
        <v>26.003999999999976</v>
      </c>
    </row>
    <row r="70" spans="6:10" ht="12.75">
      <c r="F70" s="53"/>
      <c r="H70" s="53">
        <f aca="true" t="shared" si="9" ref="H70:H79">H69+1</f>
        <v>67</v>
      </c>
      <c r="I70" s="53">
        <v>0.416</v>
      </c>
      <c r="J70" s="53">
        <f aca="true" t="shared" si="10" ref="J70:J79">J69-I70</f>
        <v>25.587999999999976</v>
      </c>
    </row>
    <row r="71" spans="6:10" ht="12.75">
      <c r="F71" s="53"/>
      <c r="H71" s="53">
        <f t="shared" si="9"/>
        <v>68</v>
      </c>
      <c r="I71" s="53">
        <v>0.416</v>
      </c>
      <c r="J71" s="53">
        <f t="shared" si="10"/>
        <v>25.171999999999976</v>
      </c>
    </row>
    <row r="72" spans="6:10" ht="12.75">
      <c r="F72" s="53"/>
      <c r="H72" s="53">
        <f t="shared" si="9"/>
        <v>69</v>
      </c>
      <c r="I72" s="53">
        <v>0.416</v>
      </c>
      <c r="J72" s="53">
        <f t="shared" si="10"/>
        <v>24.755999999999975</v>
      </c>
    </row>
    <row r="73" spans="6:10" ht="12.75">
      <c r="F73" s="53"/>
      <c r="H73" s="53">
        <f t="shared" si="9"/>
        <v>70</v>
      </c>
      <c r="I73" s="53">
        <v>0.416</v>
      </c>
      <c r="J73" s="53">
        <f t="shared" si="10"/>
        <v>24.339999999999975</v>
      </c>
    </row>
    <row r="74" spans="6:10" ht="12.75">
      <c r="F74" s="53"/>
      <c r="H74" s="53">
        <f t="shared" si="9"/>
        <v>71</v>
      </c>
      <c r="I74" s="53">
        <v>0.416</v>
      </c>
      <c r="J74" s="53">
        <f t="shared" si="10"/>
        <v>23.923999999999975</v>
      </c>
    </row>
    <row r="75" spans="6:10" ht="12.75">
      <c r="F75" s="53"/>
      <c r="H75" s="53">
        <f t="shared" si="9"/>
        <v>72</v>
      </c>
      <c r="I75" s="53">
        <v>0.416</v>
      </c>
      <c r="J75" s="53">
        <f t="shared" si="10"/>
        <v>23.507999999999974</v>
      </c>
    </row>
    <row r="76" spans="6:10" ht="12.75">
      <c r="F76" s="53"/>
      <c r="H76" s="53">
        <f t="shared" si="9"/>
        <v>73</v>
      </c>
      <c r="I76" s="53">
        <v>0.416</v>
      </c>
      <c r="J76" s="53">
        <f t="shared" si="10"/>
        <v>23.091999999999974</v>
      </c>
    </row>
    <row r="77" spans="6:10" ht="12.75">
      <c r="F77" s="53"/>
      <c r="H77" s="53">
        <f t="shared" si="9"/>
        <v>74</v>
      </c>
      <c r="I77" s="53">
        <v>0.416</v>
      </c>
      <c r="J77" s="53">
        <f t="shared" si="10"/>
        <v>22.675999999999974</v>
      </c>
    </row>
    <row r="78" spans="6:10" ht="12.75">
      <c r="F78" s="53"/>
      <c r="H78" s="53">
        <f t="shared" si="9"/>
        <v>75</v>
      </c>
      <c r="I78" s="53">
        <v>0.416</v>
      </c>
      <c r="J78" s="53">
        <f t="shared" si="10"/>
        <v>22.259999999999973</v>
      </c>
    </row>
    <row r="79" spans="6:10" ht="12.75">
      <c r="F79" s="53"/>
      <c r="H79" s="53">
        <f t="shared" si="9"/>
        <v>76</v>
      </c>
      <c r="I79" s="53">
        <v>0.416</v>
      </c>
      <c r="J79" s="53">
        <f t="shared" si="10"/>
        <v>21.843999999999973</v>
      </c>
    </row>
    <row r="80" spans="6:10" ht="12.75">
      <c r="F80" s="53"/>
      <c r="H80" s="53">
        <f aca="true" t="shared" si="11" ref="H80:H115">H79+1</f>
        <v>77</v>
      </c>
      <c r="I80" s="53">
        <v>0.416</v>
      </c>
      <c r="J80" s="53">
        <f>J79-I80</f>
        <v>21.427999999999972</v>
      </c>
    </row>
    <row r="81" spans="6:10" ht="12.75">
      <c r="F81" s="53"/>
      <c r="H81" s="53">
        <f t="shared" si="11"/>
        <v>78</v>
      </c>
      <c r="I81" s="53">
        <v>0.416</v>
      </c>
      <c r="J81" s="53">
        <f>J80-I81</f>
        <v>21.011999999999972</v>
      </c>
    </row>
    <row r="82" spans="6:10" ht="12.75">
      <c r="F82" s="53"/>
      <c r="H82" s="53">
        <f t="shared" si="11"/>
        <v>79</v>
      </c>
      <c r="I82" s="53">
        <v>0.416</v>
      </c>
      <c r="J82" s="53">
        <f>J81-I82</f>
        <v>20.59599999999997</v>
      </c>
    </row>
    <row r="83" spans="6:10" ht="12.75">
      <c r="F83" s="53"/>
      <c r="H83" s="53">
        <f t="shared" si="11"/>
        <v>80</v>
      </c>
      <c r="I83" s="53">
        <v>0.416</v>
      </c>
      <c r="J83" s="53">
        <f>J82-I83</f>
        <v>20.17999999999997</v>
      </c>
    </row>
    <row r="84" spans="6:10" ht="12.75">
      <c r="F84" s="53"/>
      <c r="H84" s="53">
        <f t="shared" si="11"/>
        <v>81</v>
      </c>
      <c r="I84" s="53">
        <v>0.416</v>
      </c>
      <c r="J84" s="53">
        <f aca="true" t="shared" si="12" ref="J84:J101">J83-I84</f>
        <v>19.76399999999997</v>
      </c>
    </row>
    <row r="85" spans="6:10" ht="12.75">
      <c r="F85" s="53"/>
      <c r="H85" s="53">
        <f t="shared" si="11"/>
        <v>82</v>
      </c>
      <c r="I85" s="53">
        <v>0.416</v>
      </c>
      <c r="J85" s="53">
        <f t="shared" si="12"/>
        <v>19.34799999999997</v>
      </c>
    </row>
    <row r="86" spans="6:10" ht="12.75">
      <c r="F86" s="53"/>
      <c r="H86" s="53">
        <f t="shared" si="11"/>
        <v>83</v>
      </c>
      <c r="I86" s="53">
        <v>0.416</v>
      </c>
      <c r="J86" s="53">
        <f t="shared" si="12"/>
        <v>18.93199999999997</v>
      </c>
    </row>
    <row r="87" spans="6:10" ht="12.75">
      <c r="F87" s="53"/>
      <c r="H87" s="53">
        <f t="shared" si="11"/>
        <v>84</v>
      </c>
      <c r="I87" s="53">
        <v>0.416</v>
      </c>
      <c r="J87" s="53">
        <f t="shared" si="12"/>
        <v>18.51599999999997</v>
      </c>
    </row>
    <row r="88" spans="6:10" ht="12.75">
      <c r="F88" s="53"/>
      <c r="H88" s="53">
        <f t="shared" si="11"/>
        <v>85</v>
      </c>
      <c r="I88" s="53">
        <v>0.416</v>
      </c>
      <c r="J88" s="53">
        <f t="shared" si="12"/>
        <v>18.09999999999997</v>
      </c>
    </row>
    <row r="89" spans="6:10" ht="12.75">
      <c r="F89" s="53"/>
      <c r="H89" s="53">
        <f t="shared" si="11"/>
        <v>86</v>
      </c>
      <c r="I89" s="53">
        <v>0.416</v>
      </c>
      <c r="J89" s="53">
        <f t="shared" si="12"/>
        <v>17.68399999999997</v>
      </c>
    </row>
    <row r="90" spans="6:10" ht="12.75">
      <c r="F90" s="53"/>
      <c r="H90" s="53">
        <f t="shared" si="11"/>
        <v>87</v>
      </c>
      <c r="I90" s="53">
        <v>0.416</v>
      </c>
      <c r="J90" s="53">
        <f t="shared" si="12"/>
        <v>17.26799999999997</v>
      </c>
    </row>
    <row r="91" spans="6:10" ht="12.75">
      <c r="F91" s="53"/>
      <c r="H91" s="53">
        <f t="shared" si="11"/>
        <v>88</v>
      </c>
      <c r="I91" s="53">
        <v>0.416</v>
      </c>
      <c r="J91" s="53">
        <f t="shared" si="12"/>
        <v>16.85199999999997</v>
      </c>
    </row>
    <row r="92" spans="6:10" ht="12.75">
      <c r="F92" s="53"/>
      <c r="H92" s="53">
        <f t="shared" si="11"/>
        <v>89</v>
      </c>
      <c r="I92" s="53">
        <v>0.333</v>
      </c>
      <c r="J92" s="53">
        <f t="shared" si="12"/>
        <v>16.51899999999997</v>
      </c>
    </row>
    <row r="93" spans="6:10" ht="12.75">
      <c r="F93" s="53"/>
      <c r="H93" s="53">
        <f t="shared" si="11"/>
        <v>90</v>
      </c>
      <c r="I93" s="53">
        <v>0.333</v>
      </c>
      <c r="J93" s="53">
        <f t="shared" si="12"/>
        <v>16.18599999999997</v>
      </c>
    </row>
    <row r="94" spans="6:10" ht="12.75">
      <c r="F94" s="53"/>
      <c r="H94" s="53">
        <f t="shared" si="11"/>
        <v>91</v>
      </c>
      <c r="I94" s="53">
        <v>0.333</v>
      </c>
      <c r="J94" s="53">
        <f t="shared" si="12"/>
        <v>15.852999999999971</v>
      </c>
    </row>
    <row r="95" spans="6:10" ht="12.75">
      <c r="F95" s="53"/>
      <c r="H95" s="53">
        <f t="shared" si="11"/>
        <v>92</v>
      </c>
      <c r="I95" s="53">
        <v>0.333</v>
      </c>
      <c r="J95" s="53">
        <f t="shared" si="12"/>
        <v>15.519999999999971</v>
      </c>
    </row>
    <row r="96" spans="6:10" ht="12.75">
      <c r="F96" s="53"/>
      <c r="H96" s="53">
        <f t="shared" si="11"/>
        <v>93</v>
      </c>
      <c r="I96" s="53">
        <v>0.333</v>
      </c>
      <c r="J96" s="53">
        <f t="shared" si="12"/>
        <v>15.186999999999971</v>
      </c>
    </row>
    <row r="97" spans="6:10" ht="12.75">
      <c r="F97" s="53"/>
      <c r="H97" s="53">
        <f t="shared" si="11"/>
        <v>94</v>
      </c>
      <c r="I97" s="53">
        <v>0.333</v>
      </c>
      <c r="J97" s="53">
        <f t="shared" si="12"/>
        <v>14.85399999999997</v>
      </c>
    </row>
    <row r="98" spans="6:10" ht="12.75">
      <c r="F98" s="53"/>
      <c r="H98" s="53">
        <f t="shared" si="11"/>
        <v>95</v>
      </c>
      <c r="I98" s="53">
        <v>0.333</v>
      </c>
      <c r="J98" s="53">
        <f t="shared" si="12"/>
        <v>14.52099999999997</v>
      </c>
    </row>
    <row r="99" spans="6:10" ht="12.75">
      <c r="F99" s="53"/>
      <c r="H99" s="53">
        <f t="shared" si="11"/>
        <v>96</v>
      </c>
      <c r="I99" s="53">
        <v>0.333</v>
      </c>
      <c r="J99" s="53">
        <f t="shared" si="12"/>
        <v>14.18799999999997</v>
      </c>
    </row>
    <row r="100" spans="6:10" ht="12.75">
      <c r="F100" s="53"/>
      <c r="H100" s="53">
        <f t="shared" si="11"/>
        <v>97</v>
      </c>
      <c r="I100" s="53">
        <v>0.333</v>
      </c>
      <c r="J100" s="53">
        <f t="shared" si="12"/>
        <v>13.85499999999997</v>
      </c>
    </row>
    <row r="101" spans="6:10" ht="12.75">
      <c r="F101" s="53"/>
      <c r="H101" s="53">
        <f t="shared" si="11"/>
        <v>98</v>
      </c>
      <c r="I101" s="53">
        <v>0.333</v>
      </c>
      <c r="J101" s="53">
        <f t="shared" si="12"/>
        <v>13.52199999999997</v>
      </c>
    </row>
    <row r="102" spans="6:10" ht="12.75">
      <c r="F102" s="53"/>
      <c r="H102" s="53">
        <f t="shared" si="11"/>
        <v>99</v>
      </c>
      <c r="I102" s="53">
        <v>0.333</v>
      </c>
      <c r="J102" s="53">
        <f aca="true" t="shared" si="13" ref="J102:J131">J101-I102</f>
        <v>13.18899999999997</v>
      </c>
    </row>
    <row r="103" spans="6:10" ht="12.75">
      <c r="F103" s="53"/>
      <c r="H103" s="53">
        <f t="shared" si="11"/>
        <v>100</v>
      </c>
      <c r="I103" s="53">
        <v>0.333</v>
      </c>
      <c r="J103" s="53">
        <f t="shared" si="13"/>
        <v>12.85599999999997</v>
      </c>
    </row>
    <row r="104" spans="6:10" ht="12.75">
      <c r="F104" s="53"/>
      <c r="H104" s="53">
        <f t="shared" si="11"/>
        <v>101</v>
      </c>
      <c r="I104" s="53">
        <v>0.333</v>
      </c>
      <c r="J104" s="53">
        <f t="shared" si="13"/>
        <v>12.52299999999997</v>
      </c>
    </row>
    <row r="105" spans="6:10" ht="12.75">
      <c r="F105" s="53"/>
      <c r="H105" s="53">
        <f t="shared" si="11"/>
        <v>102</v>
      </c>
      <c r="I105" s="53">
        <v>0.333</v>
      </c>
      <c r="J105" s="53">
        <f t="shared" si="13"/>
        <v>12.18999999999997</v>
      </c>
    </row>
    <row r="106" spans="6:10" ht="12.75">
      <c r="F106" s="53"/>
      <c r="H106" s="53">
        <f t="shared" si="11"/>
        <v>103</v>
      </c>
      <c r="I106" s="53">
        <v>0.333</v>
      </c>
      <c r="J106" s="53">
        <f t="shared" si="13"/>
        <v>11.85699999999997</v>
      </c>
    </row>
    <row r="107" spans="6:10" ht="12.75">
      <c r="F107" s="53"/>
      <c r="H107" s="53">
        <f t="shared" si="11"/>
        <v>104</v>
      </c>
      <c r="I107" s="53">
        <v>0.333</v>
      </c>
      <c r="J107" s="53">
        <f t="shared" si="13"/>
        <v>11.523999999999969</v>
      </c>
    </row>
    <row r="108" spans="6:10" ht="12.75">
      <c r="F108" s="53"/>
      <c r="H108" s="53">
        <f t="shared" si="11"/>
        <v>105</v>
      </c>
      <c r="I108" s="53">
        <v>0.333</v>
      </c>
      <c r="J108" s="53">
        <f t="shared" si="13"/>
        <v>11.190999999999969</v>
      </c>
    </row>
    <row r="109" spans="6:10" ht="12.75">
      <c r="F109" s="53"/>
      <c r="H109" s="53">
        <f t="shared" si="11"/>
        <v>106</v>
      </c>
      <c r="I109" s="53">
        <v>0.333</v>
      </c>
      <c r="J109" s="53">
        <f t="shared" si="13"/>
        <v>10.857999999999969</v>
      </c>
    </row>
    <row r="110" spans="6:10" ht="12.75">
      <c r="F110" s="53"/>
      <c r="H110" s="53">
        <f t="shared" si="11"/>
        <v>107</v>
      </c>
      <c r="I110" s="53">
        <v>0.333</v>
      </c>
      <c r="J110" s="53">
        <f t="shared" si="13"/>
        <v>10.524999999999968</v>
      </c>
    </row>
    <row r="111" spans="6:10" ht="12.75">
      <c r="F111" s="53"/>
      <c r="H111" s="53">
        <f t="shared" si="11"/>
        <v>108</v>
      </c>
      <c r="I111" s="53">
        <v>0.333</v>
      </c>
      <c r="J111" s="53">
        <f t="shared" si="13"/>
        <v>10.191999999999968</v>
      </c>
    </row>
    <row r="112" spans="6:10" ht="12.75">
      <c r="F112" s="53"/>
      <c r="H112" s="53">
        <f t="shared" si="11"/>
        <v>109</v>
      </c>
      <c r="I112" s="53">
        <v>0.333</v>
      </c>
      <c r="J112" s="53">
        <f t="shared" si="13"/>
        <v>9.858999999999968</v>
      </c>
    </row>
    <row r="113" spans="6:10" ht="12.75">
      <c r="F113" s="53"/>
      <c r="H113" s="53">
        <f t="shared" si="11"/>
        <v>110</v>
      </c>
      <c r="I113" s="53">
        <v>0.333</v>
      </c>
      <c r="J113" s="53">
        <f t="shared" si="13"/>
        <v>9.525999999999968</v>
      </c>
    </row>
    <row r="114" spans="6:10" ht="12.75">
      <c r="F114" s="53"/>
      <c r="H114" s="53">
        <f t="shared" si="11"/>
        <v>111</v>
      </c>
      <c r="I114" s="53">
        <v>0.333</v>
      </c>
      <c r="J114" s="53">
        <f t="shared" si="13"/>
        <v>9.192999999999968</v>
      </c>
    </row>
    <row r="115" spans="6:10" ht="12.75">
      <c r="F115" s="53"/>
      <c r="H115" s="53">
        <f t="shared" si="11"/>
        <v>112</v>
      </c>
      <c r="I115" s="53">
        <v>0.333</v>
      </c>
      <c r="J115" s="53">
        <f t="shared" si="13"/>
        <v>8.859999999999967</v>
      </c>
    </row>
    <row r="116" spans="6:10" ht="12.75">
      <c r="F116" s="53"/>
      <c r="H116" s="53">
        <f aca="true" t="shared" si="14" ref="H116:H131">H115+1</f>
        <v>113</v>
      </c>
      <c r="I116" s="53">
        <v>0.333</v>
      </c>
      <c r="J116" s="53">
        <f t="shared" si="13"/>
        <v>8.526999999999967</v>
      </c>
    </row>
    <row r="117" spans="6:10" ht="12.75">
      <c r="F117" s="53"/>
      <c r="H117" s="53">
        <f t="shared" si="14"/>
        <v>114</v>
      </c>
      <c r="I117" s="53">
        <v>0.333</v>
      </c>
      <c r="J117" s="53">
        <f t="shared" si="13"/>
        <v>8.193999999999967</v>
      </c>
    </row>
    <row r="118" spans="6:10" ht="12.75">
      <c r="F118" s="53"/>
      <c r="H118" s="53">
        <f t="shared" si="14"/>
        <v>115</v>
      </c>
      <c r="I118" s="53">
        <v>0.083</v>
      </c>
      <c r="J118" s="53">
        <f t="shared" si="13"/>
        <v>8.110999999999967</v>
      </c>
    </row>
    <row r="119" spans="6:10" ht="12.75">
      <c r="F119" s="53"/>
      <c r="H119" s="53">
        <f t="shared" si="14"/>
        <v>116</v>
      </c>
      <c r="I119" s="53">
        <v>0.083</v>
      </c>
      <c r="J119" s="53">
        <f t="shared" si="13"/>
        <v>8.027999999999967</v>
      </c>
    </row>
    <row r="120" spans="6:10" ht="12.75">
      <c r="F120" s="53"/>
      <c r="H120" s="53">
        <f t="shared" si="14"/>
        <v>117</v>
      </c>
      <c r="I120" s="53">
        <v>0.083</v>
      </c>
      <c r="J120" s="53">
        <f t="shared" si="13"/>
        <v>7.9449999999999665</v>
      </c>
    </row>
    <row r="121" spans="6:10" ht="12.75">
      <c r="F121" s="53"/>
      <c r="H121" s="53">
        <f t="shared" si="14"/>
        <v>118</v>
      </c>
      <c r="I121" s="53">
        <v>0.083</v>
      </c>
      <c r="J121" s="53">
        <f t="shared" si="13"/>
        <v>7.861999999999966</v>
      </c>
    </row>
    <row r="122" spans="6:10" ht="12.75">
      <c r="F122" s="53"/>
      <c r="H122" s="53">
        <f t="shared" si="14"/>
        <v>119</v>
      </c>
      <c r="I122" s="53">
        <v>0.083</v>
      </c>
      <c r="J122" s="53">
        <f t="shared" si="13"/>
        <v>7.778999999999966</v>
      </c>
    </row>
    <row r="123" spans="6:10" ht="12.75">
      <c r="F123" s="53"/>
      <c r="H123" s="53">
        <f t="shared" si="14"/>
        <v>120</v>
      </c>
      <c r="I123" s="53">
        <v>0.083</v>
      </c>
      <c r="J123" s="53">
        <f t="shared" si="13"/>
        <v>7.695999999999966</v>
      </c>
    </row>
    <row r="124" spans="6:10" ht="12.75">
      <c r="F124" s="53"/>
      <c r="H124" s="53">
        <f t="shared" si="14"/>
        <v>121</v>
      </c>
      <c r="I124" s="53">
        <v>0.083</v>
      </c>
      <c r="J124" s="53">
        <f t="shared" si="13"/>
        <v>7.612999999999966</v>
      </c>
    </row>
    <row r="125" spans="6:10" ht="12.75">
      <c r="F125" s="53"/>
      <c r="H125" s="53">
        <f t="shared" si="14"/>
        <v>122</v>
      </c>
      <c r="I125" s="53">
        <v>0.083</v>
      </c>
      <c r="J125" s="53">
        <f t="shared" si="13"/>
        <v>7.529999999999966</v>
      </c>
    </row>
    <row r="126" spans="6:10" ht="12.75">
      <c r="F126" s="53"/>
      <c r="H126" s="53">
        <f t="shared" si="14"/>
        <v>123</v>
      </c>
      <c r="I126" s="53">
        <v>0.083</v>
      </c>
      <c r="J126" s="53">
        <f t="shared" si="13"/>
        <v>7.446999999999965</v>
      </c>
    </row>
    <row r="127" spans="6:10" ht="12.75">
      <c r="F127" s="53"/>
      <c r="H127" s="53">
        <f t="shared" si="14"/>
        <v>124</v>
      </c>
      <c r="I127" s="53">
        <v>0.083</v>
      </c>
      <c r="J127" s="53">
        <f t="shared" si="13"/>
        <v>7.363999999999965</v>
      </c>
    </row>
    <row r="128" spans="6:10" ht="12.75">
      <c r="F128" s="53"/>
      <c r="H128" s="53">
        <f t="shared" si="14"/>
        <v>125</v>
      </c>
      <c r="I128" s="53">
        <v>0.083</v>
      </c>
      <c r="J128" s="53">
        <f t="shared" si="13"/>
        <v>7.280999999999965</v>
      </c>
    </row>
    <row r="129" spans="6:10" ht="12.75">
      <c r="F129" s="53"/>
      <c r="H129" s="53">
        <f t="shared" si="14"/>
        <v>126</v>
      </c>
      <c r="I129" s="53">
        <v>0.083</v>
      </c>
      <c r="J129" s="53">
        <f t="shared" si="13"/>
        <v>7.197999999999965</v>
      </c>
    </row>
    <row r="130" spans="6:10" ht="12.75">
      <c r="F130" s="53"/>
      <c r="H130" s="53">
        <f t="shared" si="14"/>
        <v>127</v>
      </c>
      <c r="I130" s="53">
        <v>0.083</v>
      </c>
      <c r="J130" s="53">
        <f t="shared" si="13"/>
        <v>7.114999999999965</v>
      </c>
    </row>
    <row r="131" spans="6:10" ht="12.75">
      <c r="F131" s="53"/>
      <c r="H131" s="53">
        <f t="shared" si="14"/>
        <v>128</v>
      </c>
      <c r="I131" s="53">
        <v>0.083</v>
      </c>
      <c r="J131" s="53">
        <f t="shared" si="13"/>
        <v>7.0319999999999645</v>
      </c>
    </row>
    <row r="132" spans="6:10" ht="12.75">
      <c r="F132" s="53"/>
      <c r="H132" s="53">
        <f>H131+1</f>
        <v>129</v>
      </c>
      <c r="I132" s="53">
        <v>0.083</v>
      </c>
      <c r="J132" s="53">
        <f>J131-I132</f>
        <v>6.948999999999964</v>
      </c>
    </row>
    <row r="133" spans="6:10" ht="12.75">
      <c r="F133" s="53"/>
      <c r="H133" s="53" t="s">
        <v>49</v>
      </c>
      <c r="J133" s="53"/>
    </row>
    <row r="134" spans="6:10" ht="12.75">
      <c r="F134" s="53"/>
      <c r="J134" s="53"/>
    </row>
    <row r="135" spans="6:10" ht="12.75">
      <c r="F135" s="53"/>
      <c r="H135" s="98" t="s">
        <v>89</v>
      </c>
      <c r="J135" s="99">
        <f>VLOOKUP(B11,H4:J132,3,0)/100*B8</f>
        <v>1505.424959999999</v>
      </c>
    </row>
    <row r="136" spans="6:10" ht="12.75">
      <c r="F136" s="53"/>
      <c r="J136" s="98" t="s">
        <v>11</v>
      </c>
    </row>
    <row r="137" spans="6:10" ht="12.75">
      <c r="F137" s="53"/>
      <c r="J137" s="53"/>
    </row>
    <row r="138" spans="6:10" ht="12.75">
      <c r="F138" s="53"/>
      <c r="J138" s="53"/>
    </row>
    <row r="139" spans="6:10" ht="12.75">
      <c r="F139" s="53"/>
      <c r="J139" s="53"/>
    </row>
    <row r="140" spans="6:10" ht="12.75">
      <c r="F140" s="53"/>
      <c r="J140" s="53"/>
    </row>
    <row r="141" spans="6:10" ht="12.75">
      <c r="F141" s="53"/>
      <c r="J141" s="53"/>
    </row>
    <row r="142" spans="6:10" ht="12.75">
      <c r="F142" s="53"/>
      <c r="J142" s="53"/>
    </row>
    <row r="143" spans="6:10" ht="12.75">
      <c r="F143" s="53"/>
      <c r="J143" s="53"/>
    </row>
    <row r="144" spans="6:10" ht="12.75">
      <c r="F144" s="53"/>
      <c r="J144" s="53"/>
    </row>
    <row r="145" spans="6:10" ht="12.75">
      <c r="F145" s="53"/>
      <c r="J145" s="53"/>
    </row>
    <row r="146" spans="6:10" ht="12.75">
      <c r="F146" s="53"/>
      <c r="J146" s="53"/>
    </row>
    <row r="147" spans="6:10" ht="12.75">
      <c r="F147" s="53"/>
      <c r="J147" s="53"/>
    </row>
    <row r="148" spans="6:10" ht="12.75">
      <c r="F148" s="53"/>
      <c r="J148" s="53"/>
    </row>
    <row r="149" spans="6:10" ht="12.75">
      <c r="F149" s="53"/>
      <c r="J149" s="53"/>
    </row>
    <row r="150" spans="6:10" ht="12.75">
      <c r="F150" s="53"/>
      <c r="J150" s="53"/>
    </row>
    <row r="151" spans="6:10" ht="12.75">
      <c r="F151" s="53"/>
      <c r="J151" s="53"/>
    </row>
    <row r="152" spans="6:10" ht="12.75">
      <c r="F152" s="53"/>
      <c r="J152" s="53"/>
    </row>
    <row r="153" spans="6:10" ht="12.75">
      <c r="F153" s="53"/>
      <c r="J153" s="53"/>
    </row>
    <row r="154" spans="6:10" ht="12.75">
      <c r="F154" s="53"/>
      <c r="J154" s="53"/>
    </row>
    <row r="155" spans="6:10" ht="12.75">
      <c r="F155" s="53"/>
      <c r="J155" s="53"/>
    </row>
    <row r="156" spans="6:10" ht="12.75">
      <c r="F156" s="53"/>
      <c r="J156" s="53"/>
    </row>
    <row r="157" spans="6:10" ht="12.75">
      <c r="F157" s="53"/>
      <c r="J157" s="53"/>
    </row>
    <row r="158" spans="6:10" ht="12.75">
      <c r="F158" s="53"/>
      <c r="J158" s="53"/>
    </row>
    <row r="159" spans="6:10" ht="12.75">
      <c r="F159" s="53"/>
      <c r="J159" s="53"/>
    </row>
    <row r="160" spans="6:10" ht="12.75">
      <c r="F160" s="53"/>
      <c r="J160" s="53"/>
    </row>
    <row r="161" spans="6:10" ht="12.75">
      <c r="F161" s="53"/>
      <c r="J161" s="53"/>
    </row>
    <row r="162" spans="6:10" ht="12.75">
      <c r="F162" s="53"/>
      <c r="J162" s="53"/>
    </row>
    <row r="163" spans="6:10" ht="12.75">
      <c r="F163" s="53"/>
      <c r="J163" s="53"/>
    </row>
    <row r="164" spans="6:10" ht="12.75">
      <c r="F164" s="53"/>
      <c r="J164" s="53"/>
    </row>
    <row r="165" spans="6:10" ht="12.75">
      <c r="F165" s="53"/>
      <c r="J165" s="53"/>
    </row>
    <row r="166" spans="6:10" ht="12.75">
      <c r="F166" s="53"/>
      <c r="J166" s="53"/>
    </row>
    <row r="167" spans="6:10" ht="12.75">
      <c r="F167" s="53"/>
      <c r="J167" s="53"/>
    </row>
    <row r="168" ht="12.75">
      <c r="J168" s="53"/>
    </row>
    <row r="169" ht="12.75">
      <c r="J169" s="53"/>
    </row>
    <row r="170" ht="12.75">
      <c r="J170" s="53"/>
    </row>
    <row r="171" ht="12.75">
      <c r="J171" s="53"/>
    </row>
    <row r="172" ht="12.75">
      <c r="J172" s="53"/>
    </row>
    <row r="173" ht="12.75">
      <c r="J173" s="53"/>
    </row>
    <row r="174" ht="12.75">
      <c r="J174" s="53"/>
    </row>
    <row r="175" ht="12.75">
      <c r="J175" s="53"/>
    </row>
    <row r="176" ht="12.75">
      <c r="J176" s="53"/>
    </row>
    <row r="177" ht="12.75">
      <c r="J177" s="53"/>
    </row>
    <row r="178" ht="12.75">
      <c r="J178" s="53"/>
    </row>
    <row r="179" ht="12.75">
      <c r="J179" s="53"/>
    </row>
    <row r="180" ht="12.75">
      <c r="J180" s="53"/>
    </row>
    <row r="181" ht="12.75">
      <c r="J181" s="53"/>
    </row>
    <row r="182" ht="12.75">
      <c r="J182" s="53"/>
    </row>
    <row r="183" ht="12.75">
      <c r="J183" s="53"/>
    </row>
    <row r="184" ht="12.75">
      <c r="J184" s="53"/>
    </row>
    <row r="185" ht="12.75">
      <c r="J185" s="53"/>
    </row>
    <row r="186" ht="12.75">
      <c r="J186" s="53"/>
    </row>
    <row r="187" ht="12.75">
      <c r="J187" s="53"/>
    </row>
    <row r="188" ht="12.75">
      <c r="J188" s="53"/>
    </row>
    <row r="189" ht="12.75">
      <c r="J189" s="53"/>
    </row>
    <row r="190" ht="12.75">
      <c r="J190" s="53"/>
    </row>
    <row r="191" ht="12.75">
      <c r="J191" s="53"/>
    </row>
    <row r="192" ht="12.75">
      <c r="J192" s="53"/>
    </row>
    <row r="193" ht="12.75">
      <c r="J193" s="53"/>
    </row>
    <row r="194" ht="12.75">
      <c r="J194" s="53"/>
    </row>
    <row r="195" ht="12.75">
      <c r="J195" s="53"/>
    </row>
    <row r="196" ht="12.75">
      <c r="J196" s="53"/>
    </row>
    <row r="197" ht="12.75">
      <c r="J197" s="53"/>
    </row>
  </sheetData>
  <sheetProtection/>
  <hyperlinks>
    <hyperlink ref="A22" location="'DGA, geen BTW-aftrek in prive'!P1" display="Investeringsaftrek"/>
  </hyperlink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6"/>
  <sheetViews>
    <sheetView showGridLines="0" zoomScale="120" zoomScaleNormal="120" zoomScalePageLayoutView="0" workbookViewId="0" topLeftCell="A28">
      <selection activeCell="O14" sqref="O14"/>
    </sheetView>
  </sheetViews>
  <sheetFormatPr defaultColWidth="9.77734375" defaultRowHeight="15"/>
  <cols>
    <col min="1" max="1" width="32.10546875" style="5" customWidth="1"/>
    <col min="2" max="2" width="10.77734375" style="6" customWidth="1"/>
    <col min="3" max="3" width="5.77734375" style="5" customWidth="1"/>
    <col min="4" max="4" width="12.21484375" style="5" customWidth="1"/>
    <col min="5" max="5" width="5.77734375" style="5" customWidth="1"/>
    <col min="6" max="6" width="10.77734375" style="6" customWidth="1"/>
    <col min="7" max="7" width="9.77734375" style="5" customWidth="1"/>
    <col min="8" max="9" width="10.77734375" style="5" customWidth="1"/>
    <col min="10" max="10" width="10.77734375" style="31" customWidth="1"/>
    <col min="11" max="14" width="10.77734375" style="5" customWidth="1"/>
    <col min="15" max="17" width="9.77734375" style="5" customWidth="1"/>
    <col min="18" max="18" width="4.6640625" style="5" customWidth="1"/>
    <col min="19" max="16384" width="9.77734375" style="5" customWidth="1"/>
  </cols>
  <sheetData>
    <row r="1" spans="1:15" s="1" customFormat="1" ht="15.75">
      <c r="A1" s="3" t="s">
        <v>107</v>
      </c>
      <c r="B1" s="2"/>
      <c r="F1" s="42" t="s">
        <v>109</v>
      </c>
      <c r="H1" s="33" t="s">
        <v>47</v>
      </c>
      <c r="I1" s="5"/>
      <c r="J1" s="31"/>
      <c r="L1" s="22" t="s">
        <v>79</v>
      </c>
      <c r="M1" s="7"/>
      <c r="N1" s="7"/>
      <c r="O1" s="7"/>
    </row>
    <row r="2" spans="1:15" ht="12.75">
      <c r="A2" s="4"/>
      <c r="H2" s="29" t="s">
        <v>11</v>
      </c>
      <c r="I2" s="5" t="s">
        <v>11</v>
      </c>
      <c r="L2" s="7"/>
      <c r="M2" s="7"/>
      <c r="N2" s="7"/>
      <c r="O2" s="7"/>
    </row>
    <row r="3" spans="1:15" ht="12.75">
      <c r="A3" s="4" t="s">
        <v>94</v>
      </c>
      <c r="H3" s="29" t="s">
        <v>50</v>
      </c>
      <c r="I3" s="29" t="s">
        <v>43</v>
      </c>
      <c r="J3" s="32" t="s">
        <v>44</v>
      </c>
      <c r="L3" s="39" t="s">
        <v>63</v>
      </c>
      <c r="M3" s="39" t="s">
        <v>65</v>
      </c>
      <c r="N3" s="39"/>
      <c r="O3" s="22" t="s">
        <v>66</v>
      </c>
    </row>
    <row r="4" spans="1:15" ht="12.75">
      <c r="A4" s="5" t="s">
        <v>11</v>
      </c>
      <c r="H4" s="5">
        <v>1</v>
      </c>
      <c r="I4" s="5">
        <v>5</v>
      </c>
      <c r="J4" s="5">
        <f>100-I4</f>
        <v>95</v>
      </c>
      <c r="L4" s="39" t="s">
        <v>64</v>
      </c>
      <c r="M4" s="39" t="s">
        <v>64</v>
      </c>
      <c r="N4" s="39"/>
      <c r="O4" s="22"/>
    </row>
    <row r="5" spans="1:15" s="7" customFormat="1" ht="12.75">
      <c r="A5" s="26" t="s">
        <v>17</v>
      </c>
      <c r="B5" s="24"/>
      <c r="D5" s="22" t="s">
        <v>38</v>
      </c>
      <c r="F5" s="8"/>
      <c r="H5" s="5">
        <f aca="true" t="shared" si="0" ref="H5:H36">H4+1</f>
        <v>2</v>
      </c>
      <c r="I5" s="5">
        <v>3</v>
      </c>
      <c r="J5" s="5">
        <f aca="true" t="shared" si="1" ref="J5:J36">J4-I5</f>
        <v>92</v>
      </c>
      <c r="L5" s="8">
        <f>'DGA, geen BTW-aftrek in prive'!L5</f>
        <v>0</v>
      </c>
      <c r="M5" s="8">
        <f>'DGA, geen BTW-aftrek in prive'!M5</f>
        <v>2400</v>
      </c>
      <c r="N5" s="50" t="s">
        <v>11</v>
      </c>
      <c r="O5" s="100">
        <f>'DGA, geen BTW-aftrek in prive'!O5</f>
        <v>0</v>
      </c>
    </row>
    <row r="6" spans="1:15" s="7" customFormat="1" ht="12.75">
      <c r="A6" s="21" t="s">
        <v>0</v>
      </c>
      <c r="B6" s="24">
        <v>39150</v>
      </c>
      <c r="C6" s="46" t="s">
        <v>53</v>
      </c>
      <c r="D6" s="46" t="s">
        <v>34</v>
      </c>
      <c r="F6" s="50" t="s">
        <v>11</v>
      </c>
      <c r="H6" s="5">
        <f t="shared" si="0"/>
        <v>3</v>
      </c>
      <c r="I6" s="5">
        <f>I5</f>
        <v>3</v>
      </c>
      <c r="J6" s="5">
        <f t="shared" si="1"/>
        <v>89</v>
      </c>
      <c r="L6" s="8">
        <f>'DGA, geen BTW-aftrek in prive'!L6</f>
        <v>2400</v>
      </c>
      <c r="M6" s="8">
        <f>'DGA, geen BTW-aftrek in prive'!M6</f>
        <v>59170</v>
      </c>
      <c r="N6" s="50" t="s">
        <v>11</v>
      </c>
      <c r="O6" s="100" t="str">
        <f>'DGA, geen BTW-aftrek in prive'!O6</f>
        <v>28% x investeringstotaal van dit jaar</v>
      </c>
    </row>
    <row r="7" spans="1:15" s="7" customFormat="1" ht="12.75">
      <c r="A7" s="7" t="s">
        <v>1</v>
      </c>
      <c r="B7" s="24">
        <v>38135</v>
      </c>
      <c r="C7" s="46" t="s">
        <v>53</v>
      </c>
      <c r="D7" s="46" t="str">
        <f>D6</f>
        <v>inclusief BTW en BPM</v>
      </c>
      <c r="F7" s="50" t="s">
        <v>11</v>
      </c>
      <c r="H7" s="5">
        <f t="shared" si="0"/>
        <v>4</v>
      </c>
      <c r="I7" s="5">
        <v>2.5</v>
      </c>
      <c r="J7" s="5">
        <f t="shared" si="1"/>
        <v>86.5</v>
      </c>
      <c r="L7" s="8">
        <f>'DGA, geen BTW-aftrek in prive'!L7</f>
        <v>59170</v>
      </c>
      <c r="M7" s="8">
        <f>'DGA, geen BTW-aftrek in prive'!M7</f>
        <v>109574</v>
      </c>
      <c r="N7" s="50" t="s">
        <v>11</v>
      </c>
      <c r="O7" s="101">
        <f>'DGA, geen BTW-aftrek in prive'!O7</f>
        <v>16568</v>
      </c>
    </row>
    <row r="8" spans="1:15" s="7" customFormat="1" ht="12.75">
      <c r="A8" s="7" t="s">
        <v>18</v>
      </c>
      <c r="B8" s="24">
        <v>5121</v>
      </c>
      <c r="C8" s="46" t="s">
        <v>52</v>
      </c>
      <c r="D8" s="46" t="s">
        <v>35</v>
      </c>
      <c r="F8" s="50" t="s">
        <v>11</v>
      </c>
      <c r="H8" s="5">
        <f t="shared" si="0"/>
        <v>5</v>
      </c>
      <c r="I8" s="5">
        <v>2.5</v>
      </c>
      <c r="J8" s="5">
        <f t="shared" si="1"/>
        <v>84</v>
      </c>
      <c r="L8" s="8">
        <f>'DGA, geen BTW-aftrek in prive'!L8</f>
        <v>109574</v>
      </c>
      <c r="M8" s="8">
        <f>'DGA, geen BTW-aftrek in prive'!M8</f>
        <v>328721</v>
      </c>
      <c r="N8" s="50" t="s">
        <v>11</v>
      </c>
      <c r="O8" s="100" t="str">
        <f>'DGA, geen BTW-aftrek in prive'!O8</f>
        <v>€ 16.568 minus 7,56% x (inv.totaal - € 109.574)</v>
      </c>
    </row>
    <row r="9" spans="1:15" s="7" customFormat="1" ht="12.75">
      <c r="A9" s="7" t="s">
        <v>45</v>
      </c>
      <c r="B9" s="30">
        <v>100</v>
      </c>
      <c r="C9" s="46" t="s">
        <v>29</v>
      </c>
      <c r="D9" s="46" t="s">
        <v>46</v>
      </c>
      <c r="F9" s="43" t="s">
        <v>11</v>
      </c>
      <c r="H9" s="5">
        <f t="shared" si="0"/>
        <v>6</v>
      </c>
      <c r="I9" s="5">
        <v>2.25</v>
      </c>
      <c r="J9" s="5">
        <f t="shared" si="1"/>
        <v>81.75</v>
      </c>
      <c r="L9" s="8">
        <f>'DGA, geen BTW-aftrek in prive'!L9</f>
        <v>328721</v>
      </c>
      <c r="M9" s="8">
        <f>'DGA, geen BTW-aftrek in prive'!M9</f>
        <v>0</v>
      </c>
      <c r="N9" s="50" t="s">
        <v>11</v>
      </c>
      <c r="O9" s="100">
        <f>'DGA, geen BTW-aftrek in prive'!O9</f>
        <v>0</v>
      </c>
    </row>
    <row r="10" spans="1:14" s="7" customFormat="1" ht="12.75">
      <c r="A10" s="7" t="s">
        <v>19</v>
      </c>
      <c r="B10" s="24">
        <v>15000</v>
      </c>
      <c r="C10" s="46" t="s">
        <v>52</v>
      </c>
      <c r="D10" s="46" t="s">
        <v>34</v>
      </c>
      <c r="H10" s="5">
        <f t="shared" si="0"/>
        <v>7</v>
      </c>
      <c r="I10" s="5">
        <v>2.25</v>
      </c>
      <c r="J10" s="5">
        <f t="shared" si="1"/>
        <v>79.5</v>
      </c>
      <c r="N10" s="43" t="s">
        <v>11</v>
      </c>
    </row>
    <row r="11" spans="1:12" s="7" customFormat="1" ht="12.75">
      <c r="A11" s="43" t="s">
        <v>87</v>
      </c>
      <c r="B11" s="24">
        <v>60</v>
      </c>
      <c r="C11" s="46" t="s">
        <v>88</v>
      </c>
      <c r="D11" s="46"/>
      <c r="H11" s="5">
        <f t="shared" si="0"/>
        <v>8</v>
      </c>
      <c r="I11" s="5">
        <v>2.25</v>
      </c>
      <c r="J11" s="5">
        <f t="shared" si="1"/>
        <v>77.25</v>
      </c>
      <c r="L11" s="22" t="str">
        <f>'DGA, geen BTW-aftrek in prive'!L11</f>
        <v>Milieu-investeringsaftrek, voorbeelden:</v>
      </c>
    </row>
    <row r="12" spans="1:15" s="7" customFormat="1" ht="12.75">
      <c r="A12" s="7" t="s">
        <v>24</v>
      </c>
      <c r="B12" s="24">
        <v>700</v>
      </c>
      <c r="C12" s="46" t="s">
        <v>53</v>
      </c>
      <c r="D12" s="46" t="s">
        <v>33</v>
      </c>
      <c r="H12" s="5">
        <f t="shared" si="0"/>
        <v>9</v>
      </c>
      <c r="I12" s="5">
        <f>I11</f>
        <v>2.25</v>
      </c>
      <c r="J12" s="5">
        <f t="shared" si="1"/>
        <v>75</v>
      </c>
      <c r="L12" s="43" t="str">
        <f>'DGA, geen BTW-aftrek in prive'!L12</f>
        <v>Volledig elektrische personenauto</v>
      </c>
      <c r="O12" s="43" t="str">
        <f>'DGA, geen BTW-aftrek in prive'!O12</f>
        <v>13,5% over max. € 40.000</v>
      </c>
    </row>
    <row r="13" spans="1:15" s="7" customFormat="1" ht="12.75">
      <c r="A13" s="7" t="s">
        <v>40</v>
      </c>
      <c r="B13" s="24">
        <v>500</v>
      </c>
      <c r="C13" s="46" t="s">
        <v>53</v>
      </c>
      <c r="D13" s="46" t="s">
        <v>36</v>
      </c>
      <c r="H13" s="5">
        <f t="shared" si="0"/>
        <v>10</v>
      </c>
      <c r="I13" s="5">
        <v>1.444</v>
      </c>
      <c r="J13" s="5">
        <f t="shared" si="1"/>
        <v>73.556</v>
      </c>
      <c r="L13" s="43" t="str">
        <f>'DGA, geen BTW-aftrek in prive'!L13</f>
        <v>Volledig elektrische N1/N2 bestelauto</v>
      </c>
      <c r="O13" s="43" t="str">
        <f>'DGA, geen BTW-aftrek in prive'!O13</f>
        <v>36% over max. € 75.000</v>
      </c>
    </row>
    <row r="14" spans="1:15" s="7" customFormat="1" ht="12.75">
      <c r="A14" s="7" t="s">
        <v>25</v>
      </c>
      <c r="B14" s="24">
        <v>1150</v>
      </c>
      <c r="C14" s="46" t="s">
        <v>53</v>
      </c>
      <c r="D14" s="46"/>
      <c r="H14" s="5">
        <f t="shared" si="0"/>
        <v>11</v>
      </c>
      <c r="I14" s="5">
        <f aca="true" t="shared" si="2" ref="I14:I21">I13</f>
        <v>1.444</v>
      </c>
      <c r="J14" s="5">
        <f t="shared" si="1"/>
        <v>72.112</v>
      </c>
      <c r="L14" s="43" t="str">
        <f>'DGA, geen BTW-aftrek in prive'!L14</f>
        <v>Bestelauto met zonnecelkoeling</v>
      </c>
      <c r="O14" s="43" t="str">
        <f>'DGA, geen BTW-aftrek in prive'!O14</f>
        <v>27% over max. € 16.000</v>
      </c>
    </row>
    <row r="15" spans="1:15" s="7" customFormat="1" ht="12.75">
      <c r="A15" s="7" t="s">
        <v>72</v>
      </c>
      <c r="B15" s="24">
        <v>4</v>
      </c>
      <c r="C15" s="46" t="s">
        <v>29</v>
      </c>
      <c r="D15" s="46"/>
      <c r="H15" s="5">
        <f t="shared" si="0"/>
        <v>12</v>
      </c>
      <c r="I15" s="5">
        <f t="shared" si="2"/>
        <v>1.444</v>
      </c>
      <c r="J15" s="5">
        <f t="shared" si="1"/>
        <v>70.66799999999999</v>
      </c>
      <c r="L15" s="43" t="str">
        <f>'DGA, geen BTW-aftrek in prive'!L15</f>
        <v>(zie voorwaarden milieulijst)</v>
      </c>
      <c r="O15" s="43" t="str">
        <f>'DGA, geen BTW-aftrek in prive'!O15</f>
        <v>plus 45% energie-inv.aftrek over de zonnepanelen</v>
      </c>
    </row>
    <row r="16" spans="1:15" s="7" customFormat="1" ht="12.75">
      <c r="A16" s="7" t="s">
        <v>20</v>
      </c>
      <c r="B16" s="28">
        <v>5.3</v>
      </c>
      <c r="C16" s="46" t="s">
        <v>16</v>
      </c>
      <c r="D16" s="46"/>
      <c r="H16" s="5">
        <f t="shared" si="0"/>
        <v>13</v>
      </c>
      <c r="I16" s="5">
        <f t="shared" si="2"/>
        <v>1.444</v>
      </c>
      <c r="J16" s="5">
        <f t="shared" si="1"/>
        <v>69.22399999999999</v>
      </c>
      <c r="L16" s="22" t="s">
        <v>11</v>
      </c>
      <c r="O16" s="43" t="s">
        <v>11</v>
      </c>
    </row>
    <row r="17" spans="1:16" s="7" customFormat="1" ht="12.75">
      <c r="A17" s="7" t="s">
        <v>21</v>
      </c>
      <c r="B17" s="27">
        <v>1.53</v>
      </c>
      <c r="C17" s="46" t="s">
        <v>52</v>
      </c>
      <c r="D17" s="46" t="s">
        <v>32</v>
      </c>
      <c r="H17" s="5">
        <f t="shared" si="0"/>
        <v>14</v>
      </c>
      <c r="I17" s="5">
        <f t="shared" si="2"/>
        <v>1.444</v>
      </c>
      <c r="J17" s="5">
        <f t="shared" si="1"/>
        <v>67.77999999999999</v>
      </c>
      <c r="O17" s="43" t="s">
        <v>11</v>
      </c>
      <c r="P17" s="43" t="s">
        <v>11</v>
      </c>
    </row>
    <row r="18" spans="1:10" s="7" customFormat="1" ht="12.75">
      <c r="A18" s="7" t="s">
        <v>22</v>
      </c>
      <c r="B18" s="24">
        <v>7000</v>
      </c>
      <c r="C18" s="46" t="s">
        <v>51</v>
      </c>
      <c r="D18" s="46"/>
      <c r="H18" s="5">
        <f t="shared" si="0"/>
        <v>15</v>
      </c>
      <c r="I18" s="5">
        <f t="shared" si="2"/>
        <v>1.444</v>
      </c>
      <c r="J18" s="5">
        <f t="shared" si="1"/>
        <v>66.33599999999998</v>
      </c>
    </row>
    <row r="19" spans="1:10" s="7" customFormat="1" ht="12.75">
      <c r="A19" s="7" t="s">
        <v>23</v>
      </c>
      <c r="B19" s="48">
        <v>23000</v>
      </c>
      <c r="C19" s="46" t="s">
        <v>51</v>
      </c>
      <c r="D19" s="46" t="s">
        <v>37</v>
      </c>
      <c r="H19" s="5">
        <f t="shared" si="0"/>
        <v>16</v>
      </c>
      <c r="I19" s="5">
        <f t="shared" si="2"/>
        <v>1.444</v>
      </c>
      <c r="J19" s="5">
        <f t="shared" si="1"/>
        <v>64.89199999999998</v>
      </c>
    </row>
    <row r="20" spans="1:10" s="7" customFormat="1" ht="12.75">
      <c r="A20" s="7" t="s">
        <v>61</v>
      </c>
      <c r="B20" s="24">
        <v>22</v>
      </c>
      <c r="C20" s="46" t="s">
        <v>29</v>
      </c>
      <c r="D20" s="46"/>
      <c r="H20" s="5">
        <f t="shared" si="0"/>
        <v>17</v>
      </c>
      <c r="I20" s="5">
        <f t="shared" si="2"/>
        <v>1.444</v>
      </c>
      <c r="J20" s="5">
        <f t="shared" si="1"/>
        <v>63.44799999999998</v>
      </c>
    </row>
    <row r="21" spans="1:10" s="7" customFormat="1" ht="12.75">
      <c r="A21" s="40" t="s">
        <v>81</v>
      </c>
      <c r="B21" s="24">
        <v>0</v>
      </c>
      <c r="C21" s="46" t="s">
        <v>53</v>
      </c>
      <c r="D21" s="46" t="s">
        <v>97</v>
      </c>
      <c r="H21" s="5">
        <f t="shared" si="0"/>
        <v>18</v>
      </c>
      <c r="I21" s="5">
        <f t="shared" si="2"/>
        <v>1.444</v>
      </c>
      <c r="J21" s="5">
        <f t="shared" si="1"/>
        <v>62.00399999999998</v>
      </c>
    </row>
    <row r="22" spans="1:10" s="7" customFormat="1" ht="12.75">
      <c r="A22" s="7" t="s">
        <v>27</v>
      </c>
      <c r="B22" s="24">
        <v>19</v>
      </c>
      <c r="C22" s="46" t="s">
        <v>28</v>
      </c>
      <c r="D22" s="46"/>
      <c r="F22" s="8"/>
      <c r="H22" s="5">
        <f t="shared" si="0"/>
        <v>19</v>
      </c>
      <c r="I22" s="5">
        <v>0.917</v>
      </c>
      <c r="J22" s="5">
        <f t="shared" si="1"/>
        <v>61.086999999999975</v>
      </c>
    </row>
    <row r="23" spans="1:10" s="7" customFormat="1" ht="12.75">
      <c r="A23" s="7" t="s">
        <v>55</v>
      </c>
      <c r="B23" s="27">
        <v>49.5</v>
      </c>
      <c r="C23" s="46" t="s">
        <v>29</v>
      </c>
      <c r="D23" s="46" t="s">
        <v>78</v>
      </c>
      <c r="F23" s="8"/>
      <c r="H23" s="5">
        <f t="shared" si="0"/>
        <v>20</v>
      </c>
      <c r="I23" s="5">
        <f aca="true" t="shared" si="3" ref="I23:I33">I22</f>
        <v>0.917</v>
      </c>
      <c r="J23" s="5">
        <f t="shared" si="1"/>
        <v>60.16999999999997</v>
      </c>
    </row>
    <row r="24" spans="1:11" s="7" customFormat="1" ht="12.75">
      <c r="A24" s="7" t="s">
        <v>11</v>
      </c>
      <c r="B24" s="23" t="s">
        <v>11</v>
      </c>
      <c r="C24" s="7" t="s">
        <v>11</v>
      </c>
      <c r="F24" s="8"/>
      <c r="H24" s="5">
        <f t="shared" si="0"/>
        <v>21</v>
      </c>
      <c r="I24" s="5">
        <f t="shared" si="3"/>
        <v>0.917</v>
      </c>
      <c r="J24" s="5">
        <f t="shared" si="1"/>
        <v>59.25299999999997</v>
      </c>
      <c r="K24" s="5"/>
    </row>
    <row r="25" spans="8:10" ht="12.75">
      <c r="H25" s="5">
        <f t="shared" si="0"/>
        <v>22</v>
      </c>
      <c r="I25" s="5">
        <f t="shared" si="3"/>
        <v>0.917</v>
      </c>
      <c r="J25" s="5">
        <f t="shared" si="1"/>
        <v>58.33599999999997</v>
      </c>
    </row>
    <row r="26" spans="1:10" ht="12.75">
      <c r="A26" s="10" t="s">
        <v>26</v>
      </c>
      <c r="B26" s="12"/>
      <c r="C26" s="11"/>
      <c r="D26" s="11"/>
      <c r="E26" s="11"/>
      <c r="F26" s="12"/>
      <c r="H26" s="5">
        <f t="shared" si="0"/>
        <v>23</v>
      </c>
      <c r="I26" s="5">
        <f t="shared" si="3"/>
        <v>0.917</v>
      </c>
      <c r="J26" s="5">
        <f t="shared" si="1"/>
        <v>57.41899999999997</v>
      </c>
    </row>
    <row r="27" spans="2:10" ht="12.75">
      <c r="B27" s="15" t="s">
        <v>3</v>
      </c>
      <c r="C27" s="29"/>
      <c r="D27" s="14" t="s">
        <v>13</v>
      </c>
      <c r="E27" s="29"/>
      <c r="F27" s="15" t="s">
        <v>4</v>
      </c>
      <c r="H27" s="5">
        <f t="shared" si="0"/>
        <v>24</v>
      </c>
      <c r="I27" s="5">
        <f t="shared" si="3"/>
        <v>0.917</v>
      </c>
      <c r="J27" s="5">
        <f t="shared" si="1"/>
        <v>56.50199999999997</v>
      </c>
    </row>
    <row r="28" spans="1:10" ht="12.75">
      <c r="A28" s="13" t="s">
        <v>8</v>
      </c>
      <c r="B28" s="6">
        <f>((($B$6-$B$8*$B$9/100)*100/121+$B$8*$B$9/100)-(($B$10-J135)*100/121+J135))/($B$11/12)</f>
        <v>4117.933567537191</v>
      </c>
      <c r="C28" s="6"/>
      <c r="D28" s="6"/>
      <c r="E28" s="6"/>
      <c r="H28" s="5">
        <f t="shared" si="0"/>
        <v>25</v>
      </c>
      <c r="I28" s="5">
        <f t="shared" si="3"/>
        <v>0.917</v>
      </c>
      <c r="J28" s="5">
        <f t="shared" si="1"/>
        <v>55.584999999999965</v>
      </c>
    </row>
    <row r="29" spans="1:10" ht="12.75">
      <c r="A29" s="13" t="s">
        <v>71</v>
      </c>
      <c r="B29" s="6">
        <f>(((($B$6-$B$8*$B$9/100)*100/121+$B$8*$B$9/100))+B10)/2*B15/100</f>
        <v>964.8828099173555</v>
      </c>
      <c r="C29" s="6"/>
      <c r="D29" s="6" t="s">
        <v>11</v>
      </c>
      <c r="E29" s="6" t="s">
        <v>11</v>
      </c>
      <c r="F29" s="6" t="s">
        <v>11</v>
      </c>
      <c r="H29" s="5">
        <f t="shared" si="0"/>
        <v>26</v>
      </c>
      <c r="I29" s="5">
        <f t="shared" si="3"/>
        <v>0.917</v>
      </c>
      <c r="J29" s="5">
        <f t="shared" si="1"/>
        <v>54.667999999999964</v>
      </c>
    </row>
    <row r="30" spans="1:10" ht="12.75">
      <c r="A30" s="13" t="s">
        <v>39</v>
      </c>
      <c r="B30" s="25">
        <f>D45</f>
        <v>2228.5123966942147</v>
      </c>
      <c r="C30" s="6"/>
      <c r="D30" s="6"/>
      <c r="E30" s="6"/>
      <c r="H30" s="5">
        <f t="shared" si="0"/>
        <v>27</v>
      </c>
      <c r="I30" s="5">
        <f t="shared" si="3"/>
        <v>0.917</v>
      </c>
      <c r="J30" s="5">
        <f t="shared" si="1"/>
        <v>53.75099999999996</v>
      </c>
    </row>
    <row r="31" spans="1:10" ht="12.75">
      <c r="A31" s="13" t="s">
        <v>2</v>
      </c>
      <c r="B31" s="18">
        <f>(B18+B19)/100*B16*B17*100/121</f>
        <v>2010.4958677685947</v>
      </c>
      <c r="C31" s="6"/>
      <c r="D31" s="6" t="s">
        <v>11</v>
      </c>
      <c r="E31" s="6"/>
      <c r="H31" s="5">
        <f t="shared" si="0"/>
        <v>28</v>
      </c>
      <c r="I31" s="5">
        <f t="shared" si="3"/>
        <v>0.917</v>
      </c>
      <c r="J31" s="5">
        <f t="shared" si="1"/>
        <v>52.83399999999996</v>
      </c>
    </row>
    <row r="32" spans="1:10" ht="12.75">
      <c r="A32" s="5" t="str">
        <f>A47</f>
        <v>BTW over privégebruik</v>
      </c>
      <c r="B32" s="16">
        <f>D47</f>
        <v>1029.645</v>
      </c>
      <c r="E32" s="6"/>
      <c r="H32" s="5">
        <f t="shared" si="0"/>
        <v>29</v>
      </c>
      <c r="I32" s="5">
        <f t="shared" si="3"/>
        <v>0.917</v>
      </c>
      <c r="J32" s="5">
        <f t="shared" si="1"/>
        <v>51.91699999999996</v>
      </c>
    </row>
    <row r="33" spans="1:10" ht="12.75">
      <c r="A33" s="13" t="s">
        <v>5</v>
      </c>
      <c r="B33" s="6">
        <f>SUM(B28:B32)</f>
        <v>10351.469641917356</v>
      </c>
      <c r="C33" s="6"/>
      <c r="D33" s="6"/>
      <c r="E33" s="6"/>
      <c r="F33" s="6" t="s">
        <v>11</v>
      </c>
      <c r="H33" s="5">
        <f t="shared" si="0"/>
        <v>30</v>
      </c>
      <c r="I33" s="5">
        <f t="shared" si="3"/>
        <v>0.917</v>
      </c>
      <c r="J33" s="5">
        <f t="shared" si="1"/>
        <v>50.99999999999996</v>
      </c>
    </row>
    <row r="34" spans="1:10" ht="12.75">
      <c r="A34" s="13" t="s">
        <v>6</v>
      </c>
      <c r="B34" s="6">
        <f>B19*-B22/100</f>
        <v>-4370</v>
      </c>
      <c r="C34" s="6"/>
      <c r="D34" s="6">
        <f>-B34</f>
        <v>4370</v>
      </c>
      <c r="E34" s="6"/>
      <c r="H34" s="5">
        <f t="shared" si="0"/>
        <v>31</v>
      </c>
      <c r="I34" s="5">
        <v>0.833</v>
      </c>
      <c r="J34" s="5">
        <f t="shared" si="1"/>
        <v>50.16699999999996</v>
      </c>
    </row>
    <row r="35" spans="1:10" ht="12.75">
      <c r="A35" s="13" t="s">
        <v>60</v>
      </c>
      <c r="B35" s="6">
        <f>B19*(B22-19)/100*B23/100</f>
        <v>0</v>
      </c>
      <c r="C35" s="6"/>
      <c r="D35" s="17">
        <f>D34*-B23/100*0.86</f>
        <v>-1860.309</v>
      </c>
      <c r="E35" s="6"/>
      <c r="F35" s="18"/>
      <c r="H35" s="5">
        <f t="shared" si="0"/>
        <v>32</v>
      </c>
      <c r="I35" s="5">
        <f aca="true" t="shared" si="4" ref="I35:I45">I34</f>
        <v>0.833</v>
      </c>
      <c r="J35" s="5">
        <f t="shared" si="1"/>
        <v>49.33399999999996</v>
      </c>
    </row>
    <row r="36" spans="1:10" ht="12.75">
      <c r="A36" s="13" t="s">
        <v>11</v>
      </c>
      <c r="B36" s="18"/>
      <c r="C36" s="6"/>
      <c r="D36" s="18" t="s">
        <v>11</v>
      </c>
      <c r="E36" s="6"/>
      <c r="H36" s="5">
        <f t="shared" si="0"/>
        <v>33</v>
      </c>
      <c r="I36" s="5">
        <f t="shared" si="4"/>
        <v>0.833</v>
      </c>
      <c r="J36" s="5">
        <f t="shared" si="1"/>
        <v>48.50099999999996</v>
      </c>
    </row>
    <row r="37" spans="1:10" ht="13.5" thickBot="1">
      <c r="A37" s="13" t="s">
        <v>9</v>
      </c>
      <c r="B37" s="19">
        <f>SUM(B33:B36)</f>
        <v>5981.469641917356</v>
      </c>
      <c r="C37" s="6"/>
      <c r="D37" s="19">
        <f>SUM(D33:D36)</f>
        <v>2509.691</v>
      </c>
      <c r="E37" s="6"/>
      <c r="F37" s="19">
        <f>SUM(B37+D37)</f>
        <v>8491.160641917355</v>
      </c>
      <c r="H37" s="5">
        <f aca="true" t="shared" si="5" ref="H37:H68">H36+1</f>
        <v>34</v>
      </c>
      <c r="I37" s="5">
        <f t="shared" si="4"/>
        <v>0.833</v>
      </c>
      <c r="J37" s="5">
        <f aca="true" t="shared" si="6" ref="J37:J68">J36-I37</f>
        <v>47.667999999999964</v>
      </c>
    </row>
    <row r="38" spans="2:10" ht="13.5" thickTop="1">
      <c r="B38" s="18"/>
      <c r="C38" s="6"/>
      <c r="D38" s="18"/>
      <c r="E38" s="6"/>
      <c r="F38" s="18"/>
      <c r="H38" s="5">
        <f t="shared" si="5"/>
        <v>35</v>
      </c>
      <c r="I38" s="5">
        <f t="shared" si="4"/>
        <v>0.833</v>
      </c>
      <c r="J38" s="5">
        <f t="shared" si="6"/>
        <v>46.834999999999965</v>
      </c>
    </row>
    <row r="39" spans="1:10" ht="13.5" thickBot="1">
      <c r="A39" s="5" t="s">
        <v>10</v>
      </c>
      <c r="B39" s="18"/>
      <c r="C39" s="6"/>
      <c r="D39" s="18"/>
      <c r="E39" s="6"/>
      <c r="F39" s="20">
        <f>F37*(B11/12)</f>
        <v>42455.803209586775</v>
      </c>
      <c r="H39" s="5">
        <f t="shared" si="5"/>
        <v>36</v>
      </c>
      <c r="I39" s="5">
        <f t="shared" si="4"/>
        <v>0.833</v>
      </c>
      <c r="J39" s="5">
        <f t="shared" si="6"/>
        <v>46.00199999999997</v>
      </c>
    </row>
    <row r="40" spans="2:10" ht="13.5" thickTop="1">
      <c r="B40" s="18"/>
      <c r="C40" s="6"/>
      <c r="D40" s="18"/>
      <c r="E40" s="6"/>
      <c r="F40" s="18"/>
      <c r="H40" s="5">
        <f t="shared" si="5"/>
        <v>37</v>
      </c>
      <c r="I40" s="5">
        <f t="shared" si="4"/>
        <v>0.833</v>
      </c>
      <c r="J40" s="5">
        <f t="shared" si="6"/>
        <v>45.16899999999997</v>
      </c>
    </row>
    <row r="41" spans="1:10" ht="12.75">
      <c r="A41" s="10" t="s">
        <v>56</v>
      </c>
      <c r="B41" s="12"/>
      <c r="C41" s="11"/>
      <c r="D41" s="11"/>
      <c r="E41" s="11"/>
      <c r="F41" s="12"/>
      <c r="H41" s="5">
        <f t="shared" si="5"/>
        <v>38</v>
      </c>
      <c r="I41" s="5">
        <f t="shared" si="4"/>
        <v>0.833</v>
      </c>
      <c r="J41" s="5">
        <f t="shared" si="6"/>
        <v>44.33599999999997</v>
      </c>
    </row>
    <row r="42" spans="2:10" ht="12.75">
      <c r="B42" s="15" t="s">
        <v>7</v>
      </c>
      <c r="D42" s="14" t="s">
        <v>13</v>
      </c>
      <c r="F42" s="15" t="s">
        <v>4</v>
      </c>
      <c r="H42" s="5">
        <f t="shared" si="5"/>
        <v>39</v>
      </c>
      <c r="I42" s="5">
        <f t="shared" si="4"/>
        <v>0.833</v>
      </c>
      <c r="J42" s="5">
        <f t="shared" si="6"/>
        <v>43.50299999999997</v>
      </c>
    </row>
    <row r="43" spans="1:10" ht="12.75">
      <c r="A43" s="13" t="s">
        <v>8</v>
      </c>
      <c r="C43" s="6"/>
      <c r="D43" s="6">
        <f>((($B$6-$B$8*$B$9/100)*100/121+$B$8*$B$9/100)-(($B$10-J135)*100/121+J135))/($B$11/12)</f>
        <v>4117.933567537191</v>
      </c>
      <c r="E43" s="6"/>
      <c r="H43" s="5">
        <f t="shared" si="5"/>
        <v>40</v>
      </c>
      <c r="I43" s="5">
        <f t="shared" si="4"/>
        <v>0.833</v>
      </c>
      <c r="J43" s="5">
        <f t="shared" si="6"/>
        <v>42.66999999999997</v>
      </c>
    </row>
    <row r="44" spans="1:10" ht="12.75">
      <c r="A44" s="13" t="s">
        <v>71</v>
      </c>
      <c r="C44" s="6"/>
      <c r="D44" s="6">
        <f>B29</f>
        <v>964.8828099173555</v>
      </c>
      <c r="E44" s="6"/>
      <c r="G44" s="44" t="s">
        <v>11</v>
      </c>
      <c r="H44" s="5">
        <f t="shared" si="5"/>
        <v>41</v>
      </c>
      <c r="I44" s="5">
        <f t="shared" si="4"/>
        <v>0.833</v>
      </c>
      <c r="J44" s="5">
        <f t="shared" si="6"/>
        <v>41.836999999999975</v>
      </c>
    </row>
    <row r="45" spans="1:10" ht="12.75">
      <c r="A45" s="13" t="str">
        <f>A30</f>
        <v>Verzekering/MRB/onderhoud</v>
      </c>
      <c r="C45" s="6"/>
      <c r="D45" s="6">
        <f>B12*100/121+B13+B14</f>
        <v>2228.5123966942147</v>
      </c>
      <c r="E45" s="6"/>
      <c r="F45" s="6" t="s">
        <v>11</v>
      </c>
      <c r="H45" s="5">
        <f t="shared" si="5"/>
        <v>42</v>
      </c>
      <c r="I45" s="5">
        <f t="shared" si="4"/>
        <v>0.833</v>
      </c>
      <c r="J45" s="5">
        <f t="shared" si="6"/>
        <v>41.00399999999998</v>
      </c>
    </row>
    <row r="46" spans="1:10" ht="12.75">
      <c r="A46" s="13" t="str">
        <f>A31</f>
        <v>Brandstof</v>
      </c>
      <c r="C46" s="6"/>
      <c r="D46" s="6">
        <f>B31</f>
        <v>2010.4958677685947</v>
      </c>
      <c r="E46" s="6"/>
      <c r="H46" s="5">
        <f t="shared" si="5"/>
        <v>43</v>
      </c>
      <c r="I46" s="5">
        <v>0.75</v>
      </c>
      <c r="J46" s="5">
        <f t="shared" si="6"/>
        <v>40.25399999999998</v>
      </c>
    </row>
    <row r="47" spans="1:10" ht="12.75">
      <c r="A47" s="13" t="s">
        <v>69</v>
      </c>
      <c r="C47" s="6"/>
      <c r="D47" s="6">
        <f>0.027*B7</f>
        <v>1029.645</v>
      </c>
      <c r="E47" s="6"/>
      <c r="H47" s="5">
        <f t="shared" si="5"/>
        <v>44</v>
      </c>
      <c r="I47" s="5">
        <v>0.75</v>
      </c>
      <c r="J47" s="5">
        <f t="shared" si="6"/>
        <v>39.50399999999998</v>
      </c>
    </row>
    <row r="48" spans="1:10" ht="12.75">
      <c r="A48" s="5" t="str">
        <f>A35</f>
        <v>Inkomstenbelasting</v>
      </c>
      <c r="C48" s="6"/>
      <c r="D48" s="6">
        <f>(SUM(D43:D47)+B21)*-B23/100*0.86</f>
        <v>-4406.620626564219</v>
      </c>
      <c r="E48" s="6" t="s">
        <v>11</v>
      </c>
      <c r="F48" s="6" t="s">
        <v>11</v>
      </c>
      <c r="H48" s="5">
        <f t="shared" si="5"/>
        <v>45</v>
      </c>
      <c r="I48" s="5">
        <v>0.75</v>
      </c>
      <c r="J48" s="5">
        <f t="shared" si="6"/>
        <v>38.75399999999998</v>
      </c>
    </row>
    <row r="49" spans="1:10" ht="12.75">
      <c r="A49" s="13" t="s">
        <v>48</v>
      </c>
      <c r="B49" s="6">
        <f>IF(B18&lt;500,0,IF(AND(B18&gt;500,SUM(D43:D47)&lt;(B7*(B20/100))),B23/100*0.86*SUM(D43:D47),((B23/100)*0.86*(B20*B7))/100))</f>
        <v>3571.49529</v>
      </c>
      <c r="D49" s="6" t="s">
        <v>11</v>
      </c>
      <c r="F49" s="6" t="s">
        <v>11</v>
      </c>
      <c r="H49" s="5">
        <f t="shared" si="5"/>
        <v>46</v>
      </c>
      <c r="I49" s="5">
        <v>0.75</v>
      </c>
      <c r="J49" s="5">
        <f t="shared" si="6"/>
        <v>38.00399999999998</v>
      </c>
    </row>
    <row r="50" spans="3:10" ht="12.75">
      <c r="C50" s="6"/>
      <c r="D50" s="6"/>
      <c r="E50" s="6"/>
      <c r="F50" s="6" t="s">
        <v>11</v>
      </c>
      <c r="H50" s="5">
        <f t="shared" si="5"/>
        <v>47</v>
      </c>
      <c r="I50" s="5">
        <v>0.75</v>
      </c>
      <c r="J50" s="5">
        <f t="shared" si="6"/>
        <v>37.25399999999998</v>
      </c>
    </row>
    <row r="51" spans="1:10" ht="13.5" thickBot="1">
      <c r="A51" s="13" t="s">
        <v>12</v>
      </c>
      <c r="B51" s="19">
        <f>SUM(B43:B49)</f>
        <v>3571.49529</v>
      </c>
      <c r="C51" s="6"/>
      <c r="D51" s="19">
        <f>SUM(D43:D50)</f>
        <v>5944.8490153531375</v>
      </c>
      <c r="E51" s="6"/>
      <c r="F51" s="19">
        <f>SUM(B51+D51)</f>
        <v>9516.344305353137</v>
      </c>
      <c r="G51" s="5" t="s">
        <v>76</v>
      </c>
      <c r="H51" s="5">
        <f t="shared" si="5"/>
        <v>48</v>
      </c>
      <c r="I51" s="5">
        <v>0.75</v>
      </c>
      <c r="J51" s="5">
        <f t="shared" si="6"/>
        <v>36.50399999999998</v>
      </c>
    </row>
    <row r="52" spans="2:10" ht="13.5" thickTop="1">
      <c r="B52" s="18"/>
      <c r="C52" s="6"/>
      <c r="D52" s="18"/>
      <c r="E52" s="6"/>
      <c r="F52" s="18"/>
      <c r="H52" s="5">
        <f t="shared" si="5"/>
        <v>49</v>
      </c>
      <c r="I52" s="5">
        <v>0.75</v>
      </c>
      <c r="J52" s="5">
        <f t="shared" si="6"/>
        <v>35.75399999999998</v>
      </c>
    </row>
    <row r="53" spans="1:10" ht="13.5" thickBot="1">
      <c r="A53" s="5" t="s">
        <v>15</v>
      </c>
      <c r="B53" s="6" t="s">
        <v>11</v>
      </c>
      <c r="F53" s="20">
        <f>F51+(F51+B21*B23/100*0.86)*((B11/12)-1)</f>
        <v>47581.72152676569</v>
      </c>
      <c r="H53" s="5">
        <f t="shared" si="5"/>
        <v>50</v>
      </c>
      <c r="I53" s="5">
        <v>0.75</v>
      </c>
      <c r="J53" s="5">
        <f t="shared" si="6"/>
        <v>35.00399999999998</v>
      </c>
    </row>
    <row r="54" spans="1:10" ht="13.5" thickTop="1">
      <c r="A54" s="9"/>
      <c r="B54" s="18" t="s">
        <v>11</v>
      </c>
      <c r="C54" s="9"/>
      <c r="D54" s="18" t="s">
        <v>11</v>
      </c>
      <c r="E54" s="9"/>
      <c r="F54" s="45" t="s">
        <v>11</v>
      </c>
      <c r="H54" s="5">
        <f t="shared" si="5"/>
        <v>51</v>
      </c>
      <c r="I54" s="5">
        <v>0.75</v>
      </c>
      <c r="J54" s="5">
        <f t="shared" si="6"/>
        <v>34.25399999999998</v>
      </c>
    </row>
    <row r="55" spans="6:10" ht="12.75">
      <c r="F55" s="44" t="s">
        <v>11</v>
      </c>
      <c r="H55" s="5">
        <f t="shared" si="5"/>
        <v>52</v>
      </c>
      <c r="I55" s="5">
        <v>0.75</v>
      </c>
      <c r="J55" s="5">
        <f t="shared" si="6"/>
        <v>33.50399999999998</v>
      </c>
    </row>
    <row r="56" spans="1:10" ht="12.75">
      <c r="A56" s="34" t="s">
        <v>54</v>
      </c>
      <c r="B56" s="35"/>
      <c r="C56" s="36"/>
      <c r="D56" s="37" t="str">
        <f>IF((F53-F39)&gt;0,"in privé","in de onderneming")</f>
        <v>in privé</v>
      </c>
      <c r="F56" s="5"/>
      <c r="H56" s="5">
        <f t="shared" si="5"/>
        <v>53</v>
      </c>
      <c r="I56" s="5">
        <v>0.75</v>
      </c>
      <c r="J56" s="5">
        <f t="shared" si="6"/>
        <v>32.75399999999998</v>
      </c>
    </row>
    <row r="57" spans="6:10" ht="12.75">
      <c r="F57" s="103" t="s">
        <v>11</v>
      </c>
      <c r="H57" s="5">
        <f t="shared" si="5"/>
        <v>54</v>
      </c>
      <c r="I57" s="5">
        <v>0.75</v>
      </c>
      <c r="J57" s="5">
        <f t="shared" si="6"/>
        <v>32.00399999999998</v>
      </c>
    </row>
    <row r="58" spans="6:10" ht="12.75">
      <c r="F58" s="44" t="s">
        <v>11</v>
      </c>
      <c r="H58" s="5">
        <f t="shared" si="5"/>
        <v>55</v>
      </c>
      <c r="I58" s="5">
        <v>0.5</v>
      </c>
      <c r="J58" s="5">
        <f t="shared" si="6"/>
        <v>31.503999999999976</v>
      </c>
    </row>
    <row r="59" spans="6:10" ht="12.75">
      <c r="F59" s="5"/>
      <c r="H59" s="5">
        <f t="shared" si="5"/>
        <v>56</v>
      </c>
      <c r="I59" s="5">
        <v>0.5</v>
      </c>
      <c r="J59" s="5">
        <f t="shared" si="6"/>
        <v>31.003999999999976</v>
      </c>
    </row>
    <row r="60" spans="1:10" ht="12.75">
      <c r="A60" s="38" t="s">
        <v>11</v>
      </c>
      <c r="F60" s="5"/>
      <c r="H60" s="5">
        <f t="shared" si="5"/>
        <v>57</v>
      </c>
      <c r="I60" s="5">
        <v>0.5</v>
      </c>
      <c r="J60" s="5">
        <f t="shared" si="6"/>
        <v>30.503999999999976</v>
      </c>
    </row>
    <row r="61" spans="1:10" ht="12.75">
      <c r="A61" s="38" t="s">
        <v>74</v>
      </c>
      <c r="F61" s="5"/>
      <c r="H61" s="5">
        <f t="shared" si="5"/>
        <v>58</v>
      </c>
      <c r="I61" s="5">
        <v>0.5</v>
      </c>
      <c r="J61" s="5">
        <f t="shared" si="6"/>
        <v>30.003999999999976</v>
      </c>
    </row>
    <row r="62" spans="1:10" ht="12.75">
      <c r="A62" s="38" t="s">
        <v>75</v>
      </c>
      <c r="F62" s="5"/>
      <c r="H62" s="5">
        <f t="shared" si="5"/>
        <v>59</v>
      </c>
      <c r="I62" s="5">
        <v>0.5</v>
      </c>
      <c r="J62" s="5">
        <f t="shared" si="6"/>
        <v>29.503999999999976</v>
      </c>
    </row>
    <row r="63" spans="6:10" ht="12.75">
      <c r="F63" s="5"/>
      <c r="H63" s="5">
        <f t="shared" si="5"/>
        <v>60</v>
      </c>
      <c r="I63" s="5">
        <v>0.5</v>
      </c>
      <c r="J63" s="5">
        <f t="shared" si="6"/>
        <v>29.003999999999976</v>
      </c>
    </row>
    <row r="64" spans="1:10" ht="12.75">
      <c r="A64" s="38" t="str">
        <f>'DGA, geen BTW-aftrek in prive'!A66</f>
        <v>© 2021 AMD automotive fiscalisten B.V., www.autoenfiscus.nl</v>
      </c>
      <c r="F64" s="5"/>
      <c r="H64" s="5">
        <f t="shared" si="5"/>
        <v>61</v>
      </c>
      <c r="I64" s="5">
        <v>0.5</v>
      </c>
      <c r="J64" s="5">
        <f t="shared" si="6"/>
        <v>28.503999999999976</v>
      </c>
    </row>
    <row r="65" spans="1:10" ht="12.75">
      <c r="A65" s="38" t="str">
        <f>'DGA, geen BTW-aftrek in prive'!A67</f>
        <v>Hoewel aan de samenstelling de uiterste zorg is besteed, aanvaardt AMD automotive fiscalisten B.V. geen enkele </v>
      </c>
      <c r="F65" s="5"/>
      <c r="H65" s="5">
        <f t="shared" si="5"/>
        <v>62</v>
      </c>
      <c r="I65" s="5">
        <v>0.5</v>
      </c>
      <c r="J65" s="5">
        <f t="shared" si="6"/>
        <v>28.003999999999976</v>
      </c>
    </row>
    <row r="66" spans="1:10" ht="12.75">
      <c r="A66" s="38" t="s">
        <v>57</v>
      </c>
      <c r="F66" s="5"/>
      <c r="H66" s="5">
        <f t="shared" si="5"/>
        <v>63</v>
      </c>
      <c r="I66" s="5">
        <v>0.5</v>
      </c>
      <c r="J66" s="5">
        <f t="shared" si="6"/>
        <v>27.503999999999976</v>
      </c>
    </row>
    <row r="67" spans="6:10" ht="12.75">
      <c r="F67" s="5"/>
      <c r="H67" s="5">
        <f t="shared" si="5"/>
        <v>64</v>
      </c>
      <c r="I67" s="5">
        <v>0.5</v>
      </c>
      <c r="J67" s="5">
        <f t="shared" si="6"/>
        <v>27.003999999999976</v>
      </c>
    </row>
    <row r="68" spans="6:10" ht="12.75">
      <c r="F68" s="5"/>
      <c r="H68" s="5">
        <f t="shared" si="5"/>
        <v>65</v>
      </c>
      <c r="I68" s="5">
        <v>0.5</v>
      </c>
      <c r="J68" s="5">
        <f t="shared" si="6"/>
        <v>26.503999999999976</v>
      </c>
    </row>
    <row r="69" spans="6:10" ht="12.75">
      <c r="F69" s="5"/>
      <c r="H69" s="5">
        <f>H68+1</f>
        <v>66</v>
      </c>
      <c r="I69" s="5">
        <v>0.5</v>
      </c>
      <c r="J69" s="5">
        <f>J68-I69</f>
        <v>26.003999999999976</v>
      </c>
    </row>
    <row r="70" spans="6:10" ht="12.75">
      <c r="F70" s="5"/>
      <c r="H70" s="5">
        <f aca="true" t="shared" si="7" ref="H70:H101">H69+1</f>
        <v>67</v>
      </c>
      <c r="I70" s="5">
        <v>0.416</v>
      </c>
      <c r="J70" s="5">
        <f aca="true" t="shared" si="8" ref="J70:J101">J69-I70</f>
        <v>25.587999999999976</v>
      </c>
    </row>
    <row r="71" spans="6:10" ht="12.75">
      <c r="F71" s="5"/>
      <c r="H71" s="5">
        <f t="shared" si="7"/>
        <v>68</v>
      </c>
      <c r="I71" s="5">
        <v>0.416</v>
      </c>
      <c r="J71" s="5">
        <f t="shared" si="8"/>
        <v>25.171999999999976</v>
      </c>
    </row>
    <row r="72" spans="6:10" ht="12.75">
      <c r="F72" s="5"/>
      <c r="H72" s="5">
        <f t="shared" si="7"/>
        <v>69</v>
      </c>
      <c r="I72" s="5">
        <v>0.416</v>
      </c>
      <c r="J72" s="5">
        <f t="shared" si="8"/>
        <v>24.755999999999975</v>
      </c>
    </row>
    <row r="73" spans="6:10" ht="12.75">
      <c r="F73" s="5"/>
      <c r="H73" s="5">
        <f t="shared" si="7"/>
        <v>70</v>
      </c>
      <c r="I73" s="5">
        <v>0.416</v>
      </c>
      <c r="J73" s="5">
        <f t="shared" si="8"/>
        <v>24.339999999999975</v>
      </c>
    </row>
    <row r="74" spans="6:10" ht="12.75">
      <c r="F74" s="5"/>
      <c r="H74" s="5">
        <f t="shared" si="7"/>
        <v>71</v>
      </c>
      <c r="I74" s="5">
        <v>0.416</v>
      </c>
      <c r="J74" s="5">
        <f t="shared" si="8"/>
        <v>23.923999999999975</v>
      </c>
    </row>
    <row r="75" spans="6:10" ht="12.75">
      <c r="F75" s="5"/>
      <c r="H75" s="5">
        <f t="shared" si="7"/>
        <v>72</v>
      </c>
      <c r="I75" s="5">
        <v>0.416</v>
      </c>
      <c r="J75" s="5">
        <f t="shared" si="8"/>
        <v>23.507999999999974</v>
      </c>
    </row>
    <row r="76" spans="6:10" ht="12.75">
      <c r="F76" s="5"/>
      <c r="H76" s="5">
        <f t="shared" si="7"/>
        <v>73</v>
      </c>
      <c r="I76" s="5">
        <v>0.416</v>
      </c>
      <c r="J76" s="5">
        <f t="shared" si="8"/>
        <v>23.091999999999974</v>
      </c>
    </row>
    <row r="77" spans="6:10" ht="12.75">
      <c r="F77" s="5"/>
      <c r="H77" s="5">
        <f t="shared" si="7"/>
        <v>74</v>
      </c>
      <c r="I77" s="5">
        <v>0.416</v>
      </c>
      <c r="J77" s="5">
        <f t="shared" si="8"/>
        <v>22.675999999999974</v>
      </c>
    </row>
    <row r="78" spans="6:10" ht="12.75">
      <c r="F78" s="5"/>
      <c r="H78" s="5">
        <f t="shared" si="7"/>
        <v>75</v>
      </c>
      <c r="I78" s="5">
        <v>0.416</v>
      </c>
      <c r="J78" s="5">
        <f t="shared" si="8"/>
        <v>22.259999999999973</v>
      </c>
    </row>
    <row r="79" spans="6:10" ht="12.75">
      <c r="F79" s="5"/>
      <c r="H79" s="5">
        <f t="shared" si="7"/>
        <v>76</v>
      </c>
      <c r="I79" s="5">
        <v>0.416</v>
      </c>
      <c r="J79" s="5">
        <f t="shared" si="8"/>
        <v>21.843999999999973</v>
      </c>
    </row>
    <row r="80" spans="6:10" ht="12.75">
      <c r="F80" s="5"/>
      <c r="H80" s="5">
        <f t="shared" si="7"/>
        <v>77</v>
      </c>
      <c r="I80" s="5">
        <v>0.416</v>
      </c>
      <c r="J80" s="5">
        <f t="shared" si="8"/>
        <v>21.427999999999972</v>
      </c>
    </row>
    <row r="81" spans="6:10" ht="12.75">
      <c r="F81" s="5"/>
      <c r="H81" s="5">
        <f t="shared" si="7"/>
        <v>78</v>
      </c>
      <c r="I81" s="5">
        <v>0.416</v>
      </c>
      <c r="J81" s="5">
        <f t="shared" si="8"/>
        <v>21.011999999999972</v>
      </c>
    </row>
    <row r="82" spans="6:10" ht="12.75">
      <c r="F82" s="5"/>
      <c r="H82" s="5">
        <f t="shared" si="7"/>
        <v>79</v>
      </c>
      <c r="I82" s="5">
        <v>0.416</v>
      </c>
      <c r="J82" s="5">
        <f t="shared" si="8"/>
        <v>20.59599999999997</v>
      </c>
    </row>
    <row r="83" spans="6:10" ht="12.75">
      <c r="F83" s="5"/>
      <c r="H83" s="5">
        <f t="shared" si="7"/>
        <v>80</v>
      </c>
      <c r="I83" s="5">
        <v>0.416</v>
      </c>
      <c r="J83" s="5">
        <f t="shared" si="8"/>
        <v>20.17999999999997</v>
      </c>
    </row>
    <row r="84" spans="6:10" ht="12.75">
      <c r="F84" s="5"/>
      <c r="H84" s="5">
        <f t="shared" si="7"/>
        <v>81</v>
      </c>
      <c r="I84" s="5">
        <v>0.416</v>
      </c>
      <c r="J84" s="5">
        <f t="shared" si="8"/>
        <v>19.76399999999997</v>
      </c>
    </row>
    <row r="85" spans="6:10" ht="12.75">
      <c r="F85" s="5"/>
      <c r="H85" s="5">
        <f t="shared" si="7"/>
        <v>82</v>
      </c>
      <c r="I85" s="5">
        <v>0.416</v>
      </c>
      <c r="J85" s="5">
        <f t="shared" si="8"/>
        <v>19.34799999999997</v>
      </c>
    </row>
    <row r="86" spans="6:10" ht="12.75">
      <c r="F86" s="5"/>
      <c r="H86" s="5">
        <f t="shared" si="7"/>
        <v>83</v>
      </c>
      <c r="I86" s="5">
        <v>0.416</v>
      </c>
      <c r="J86" s="5">
        <f t="shared" si="8"/>
        <v>18.93199999999997</v>
      </c>
    </row>
    <row r="87" spans="6:10" ht="12.75">
      <c r="F87" s="5"/>
      <c r="H87" s="5">
        <f t="shared" si="7"/>
        <v>84</v>
      </c>
      <c r="I87" s="5">
        <v>0.416</v>
      </c>
      <c r="J87" s="5">
        <f t="shared" si="8"/>
        <v>18.51599999999997</v>
      </c>
    </row>
    <row r="88" spans="6:10" ht="12.75">
      <c r="F88" s="5"/>
      <c r="H88" s="5">
        <f t="shared" si="7"/>
        <v>85</v>
      </c>
      <c r="I88" s="5">
        <v>0.416</v>
      </c>
      <c r="J88" s="5">
        <f t="shared" si="8"/>
        <v>18.09999999999997</v>
      </c>
    </row>
    <row r="89" spans="6:10" ht="12.75">
      <c r="F89" s="5"/>
      <c r="H89" s="5">
        <f t="shared" si="7"/>
        <v>86</v>
      </c>
      <c r="I89" s="5">
        <v>0.416</v>
      </c>
      <c r="J89" s="5">
        <f t="shared" si="8"/>
        <v>17.68399999999997</v>
      </c>
    </row>
    <row r="90" spans="6:10" ht="12.75">
      <c r="F90" s="5"/>
      <c r="H90" s="5">
        <f t="shared" si="7"/>
        <v>87</v>
      </c>
      <c r="I90" s="5">
        <v>0.416</v>
      </c>
      <c r="J90" s="5">
        <f t="shared" si="8"/>
        <v>17.26799999999997</v>
      </c>
    </row>
    <row r="91" spans="6:10" ht="12.75">
      <c r="F91" s="5"/>
      <c r="H91" s="5">
        <f t="shared" si="7"/>
        <v>88</v>
      </c>
      <c r="I91" s="5">
        <v>0.416</v>
      </c>
      <c r="J91" s="5">
        <f t="shared" si="8"/>
        <v>16.85199999999997</v>
      </c>
    </row>
    <row r="92" spans="6:10" ht="12.75">
      <c r="F92" s="5"/>
      <c r="H92" s="5">
        <f t="shared" si="7"/>
        <v>89</v>
      </c>
      <c r="I92" s="5">
        <v>0.333</v>
      </c>
      <c r="J92" s="5">
        <f t="shared" si="8"/>
        <v>16.51899999999997</v>
      </c>
    </row>
    <row r="93" spans="6:10" ht="12.75">
      <c r="F93" s="5"/>
      <c r="H93" s="5">
        <f t="shared" si="7"/>
        <v>90</v>
      </c>
      <c r="I93" s="5">
        <v>0.333</v>
      </c>
      <c r="J93" s="5">
        <f t="shared" si="8"/>
        <v>16.18599999999997</v>
      </c>
    </row>
    <row r="94" spans="6:10" ht="12.75">
      <c r="F94" s="5"/>
      <c r="H94" s="5">
        <f t="shared" si="7"/>
        <v>91</v>
      </c>
      <c r="I94" s="5">
        <v>0.333</v>
      </c>
      <c r="J94" s="5">
        <f t="shared" si="8"/>
        <v>15.852999999999971</v>
      </c>
    </row>
    <row r="95" spans="6:10" ht="12.75">
      <c r="F95" s="5"/>
      <c r="H95" s="5">
        <f t="shared" si="7"/>
        <v>92</v>
      </c>
      <c r="I95" s="5">
        <v>0.333</v>
      </c>
      <c r="J95" s="5">
        <f t="shared" si="8"/>
        <v>15.519999999999971</v>
      </c>
    </row>
    <row r="96" spans="6:10" ht="12.75">
      <c r="F96" s="5"/>
      <c r="H96" s="5">
        <f t="shared" si="7"/>
        <v>93</v>
      </c>
      <c r="I96" s="5">
        <v>0.333</v>
      </c>
      <c r="J96" s="5">
        <f t="shared" si="8"/>
        <v>15.186999999999971</v>
      </c>
    </row>
    <row r="97" spans="6:10" ht="12.75">
      <c r="F97" s="5"/>
      <c r="H97" s="5">
        <f t="shared" si="7"/>
        <v>94</v>
      </c>
      <c r="I97" s="5">
        <v>0.333</v>
      </c>
      <c r="J97" s="5">
        <f t="shared" si="8"/>
        <v>14.85399999999997</v>
      </c>
    </row>
    <row r="98" spans="6:10" ht="12.75">
      <c r="F98" s="5"/>
      <c r="H98" s="5">
        <f t="shared" si="7"/>
        <v>95</v>
      </c>
      <c r="I98" s="5">
        <v>0.333</v>
      </c>
      <c r="J98" s="5">
        <f t="shared" si="8"/>
        <v>14.52099999999997</v>
      </c>
    </row>
    <row r="99" spans="6:10" ht="12.75">
      <c r="F99" s="5"/>
      <c r="H99" s="5">
        <f t="shared" si="7"/>
        <v>96</v>
      </c>
      <c r="I99" s="5">
        <v>0.333</v>
      </c>
      <c r="J99" s="5">
        <f t="shared" si="8"/>
        <v>14.18799999999997</v>
      </c>
    </row>
    <row r="100" spans="6:10" ht="12.75">
      <c r="F100" s="5"/>
      <c r="H100" s="5">
        <f t="shared" si="7"/>
        <v>97</v>
      </c>
      <c r="I100" s="5">
        <v>0.333</v>
      </c>
      <c r="J100" s="5">
        <f t="shared" si="8"/>
        <v>13.85499999999997</v>
      </c>
    </row>
    <row r="101" spans="6:10" ht="12.75">
      <c r="F101" s="5"/>
      <c r="H101" s="5">
        <f t="shared" si="7"/>
        <v>98</v>
      </c>
      <c r="I101" s="5">
        <v>0.333</v>
      </c>
      <c r="J101" s="5">
        <f t="shared" si="8"/>
        <v>13.52199999999997</v>
      </c>
    </row>
    <row r="102" spans="6:10" ht="12.75">
      <c r="F102" s="5"/>
      <c r="H102" s="5">
        <f aca="true" t="shared" si="9" ref="H102:H132">H101+1</f>
        <v>99</v>
      </c>
      <c r="I102" s="5">
        <v>0.333</v>
      </c>
      <c r="J102" s="5">
        <f aca="true" t="shared" si="10" ref="J102:J132">J101-I102</f>
        <v>13.18899999999997</v>
      </c>
    </row>
    <row r="103" spans="6:10" ht="12.75">
      <c r="F103" s="5"/>
      <c r="H103" s="5">
        <f t="shared" si="9"/>
        <v>100</v>
      </c>
      <c r="I103" s="5">
        <v>0.333</v>
      </c>
      <c r="J103" s="5">
        <f t="shared" si="10"/>
        <v>12.85599999999997</v>
      </c>
    </row>
    <row r="104" spans="6:10" ht="12.75">
      <c r="F104" s="5"/>
      <c r="H104" s="5">
        <f t="shared" si="9"/>
        <v>101</v>
      </c>
      <c r="I104" s="5">
        <v>0.333</v>
      </c>
      <c r="J104" s="5">
        <f t="shared" si="10"/>
        <v>12.52299999999997</v>
      </c>
    </row>
    <row r="105" spans="6:10" ht="12.75">
      <c r="F105" s="5"/>
      <c r="H105" s="5">
        <f t="shared" si="9"/>
        <v>102</v>
      </c>
      <c r="I105" s="5">
        <v>0.333</v>
      </c>
      <c r="J105" s="5">
        <f t="shared" si="10"/>
        <v>12.18999999999997</v>
      </c>
    </row>
    <row r="106" spans="6:10" ht="12.75">
      <c r="F106" s="5"/>
      <c r="H106" s="5">
        <f t="shared" si="9"/>
        <v>103</v>
      </c>
      <c r="I106" s="5">
        <v>0.333</v>
      </c>
      <c r="J106" s="5">
        <f t="shared" si="10"/>
        <v>11.85699999999997</v>
      </c>
    </row>
    <row r="107" spans="6:10" ht="12.75">
      <c r="F107" s="5"/>
      <c r="H107" s="5">
        <f t="shared" si="9"/>
        <v>104</v>
      </c>
      <c r="I107" s="5">
        <v>0.333</v>
      </c>
      <c r="J107" s="5">
        <f t="shared" si="10"/>
        <v>11.523999999999969</v>
      </c>
    </row>
    <row r="108" spans="6:10" ht="12.75">
      <c r="F108" s="5"/>
      <c r="H108" s="5">
        <f t="shared" si="9"/>
        <v>105</v>
      </c>
      <c r="I108" s="5">
        <v>0.333</v>
      </c>
      <c r="J108" s="5">
        <f t="shared" si="10"/>
        <v>11.190999999999969</v>
      </c>
    </row>
    <row r="109" spans="6:10" ht="12.75">
      <c r="F109" s="5"/>
      <c r="H109" s="5">
        <f t="shared" si="9"/>
        <v>106</v>
      </c>
      <c r="I109" s="5">
        <v>0.333</v>
      </c>
      <c r="J109" s="5">
        <f t="shared" si="10"/>
        <v>10.857999999999969</v>
      </c>
    </row>
    <row r="110" spans="6:10" ht="12.75">
      <c r="F110" s="5"/>
      <c r="H110" s="5">
        <f t="shared" si="9"/>
        <v>107</v>
      </c>
      <c r="I110" s="5">
        <v>0.333</v>
      </c>
      <c r="J110" s="5">
        <f t="shared" si="10"/>
        <v>10.524999999999968</v>
      </c>
    </row>
    <row r="111" spans="6:10" ht="12.75">
      <c r="F111" s="5"/>
      <c r="H111" s="5">
        <f t="shared" si="9"/>
        <v>108</v>
      </c>
      <c r="I111" s="5">
        <v>0.333</v>
      </c>
      <c r="J111" s="5">
        <f t="shared" si="10"/>
        <v>10.191999999999968</v>
      </c>
    </row>
    <row r="112" spans="6:10" ht="12.75">
      <c r="F112" s="5"/>
      <c r="H112" s="5">
        <f t="shared" si="9"/>
        <v>109</v>
      </c>
      <c r="I112" s="5">
        <v>0.333</v>
      </c>
      <c r="J112" s="5">
        <f t="shared" si="10"/>
        <v>9.858999999999968</v>
      </c>
    </row>
    <row r="113" spans="6:10" ht="12.75">
      <c r="F113" s="5"/>
      <c r="H113" s="5">
        <f t="shared" si="9"/>
        <v>110</v>
      </c>
      <c r="I113" s="5">
        <v>0.333</v>
      </c>
      <c r="J113" s="5">
        <f t="shared" si="10"/>
        <v>9.525999999999968</v>
      </c>
    </row>
    <row r="114" spans="6:10" ht="12.75">
      <c r="F114" s="5"/>
      <c r="H114" s="5">
        <f t="shared" si="9"/>
        <v>111</v>
      </c>
      <c r="I114" s="5">
        <v>0.333</v>
      </c>
      <c r="J114" s="5">
        <f t="shared" si="10"/>
        <v>9.192999999999968</v>
      </c>
    </row>
    <row r="115" spans="6:10" ht="12.75">
      <c r="F115" s="5"/>
      <c r="H115" s="5">
        <f t="shared" si="9"/>
        <v>112</v>
      </c>
      <c r="I115" s="5">
        <v>0.333</v>
      </c>
      <c r="J115" s="5">
        <f t="shared" si="10"/>
        <v>8.859999999999967</v>
      </c>
    </row>
    <row r="116" spans="6:10" ht="12.75">
      <c r="F116" s="5"/>
      <c r="H116" s="5">
        <f t="shared" si="9"/>
        <v>113</v>
      </c>
      <c r="I116" s="5">
        <v>0.333</v>
      </c>
      <c r="J116" s="5">
        <f t="shared" si="10"/>
        <v>8.526999999999967</v>
      </c>
    </row>
    <row r="117" spans="6:10" ht="12.75">
      <c r="F117" s="5"/>
      <c r="H117" s="5">
        <f t="shared" si="9"/>
        <v>114</v>
      </c>
      <c r="I117" s="5">
        <v>0.333</v>
      </c>
      <c r="J117" s="5">
        <f t="shared" si="10"/>
        <v>8.193999999999967</v>
      </c>
    </row>
    <row r="118" spans="6:10" ht="12.75">
      <c r="F118" s="5"/>
      <c r="H118" s="5">
        <f t="shared" si="9"/>
        <v>115</v>
      </c>
      <c r="I118" s="5">
        <v>0.083</v>
      </c>
      <c r="J118" s="5">
        <f t="shared" si="10"/>
        <v>8.110999999999967</v>
      </c>
    </row>
    <row r="119" spans="6:10" ht="12.75">
      <c r="F119" s="5"/>
      <c r="H119" s="5">
        <f t="shared" si="9"/>
        <v>116</v>
      </c>
      <c r="I119" s="5">
        <v>0.083</v>
      </c>
      <c r="J119" s="5">
        <f t="shared" si="10"/>
        <v>8.027999999999967</v>
      </c>
    </row>
    <row r="120" spans="6:10" ht="12.75">
      <c r="F120" s="5"/>
      <c r="H120" s="5">
        <f t="shared" si="9"/>
        <v>117</v>
      </c>
      <c r="I120" s="5">
        <v>0.083</v>
      </c>
      <c r="J120" s="5">
        <f t="shared" si="10"/>
        <v>7.9449999999999665</v>
      </c>
    </row>
    <row r="121" spans="6:10" ht="12.75">
      <c r="F121" s="5"/>
      <c r="H121" s="5">
        <f t="shared" si="9"/>
        <v>118</v>
      </c>
      <c r="I121" s="5">
        <v>0.083</v>
      </c>
      <c r="J121" s="5">
        <f t="shared" si="10"/>
        <v>7.861999999999966</v>
      </c>
    </row>
    <row r="122" spans="6:10" ht="12.75">
      <c r="F122" s="5"/>
      <c r="H122" s="5">
        <f t="shared" si="9"/>
        <v>119</v>
      </c>
      <c r="I122" s="5">
        <v>0.083</v>
      </c>
      <c r="J122" s="5">
        <f t="shared" si="10"/>
        <v>7.778999999999966</v>
      </c>
    </row>
    <row r="123" spans="6:10" ht="12.75">
      <c r="F123" s="5"/>
      <c r="H123" s="5">
        <f t="shared" si="9"/>
        <v>120</v>
      </c>
      <c r="I123" s="5">
        <v>0.083</v>
      </c>
      <c r="J123" s="5">
        <f t="shared" si="10"/>
        <v>7.695999999999966</v>
      </c>
    </row>
    <row r="124" spans="6:10" ht="12.75">
      <c r="F124" s="5"/>
      <c r="H124" s="5">
        <f t="shared" si="9"/>
        <v>121</v>
      </c>
      <c r="I124" s="5">
        <v>0.083</v>
      </c>
      <c r="J124" s="5">
        <f t="shared" si="10"/>
        <v>7.612999999999966</v>
      </c>
    </row>
    <row r="125" spans="6:10" ht="12.75">
      <c r="F125" s="5"/>
      <c r="H125" s="5">
        <f t="shared" si="9"/>
        <v>122</v>
      </c>
      <c r="I125" s="5">
        <v>0.083</v>
      </c>
      <c r="J125" s="5">
        <f t="shared" si="10"/>
        <v>7.529999999999966</v>
      </c>
    </row>
    <row r="126" spans="6:10" ht="12.75">
      <c r="F126" s="5"/>
      <c r="H126" s="5">
        <f t="shared" si="9"/>
        <v>123</v>
      </c>
      <c r="I126" s="5">
        <v>0.083</v>
      </c>
      <c r="J126" s="5">
        <f t="shared" si="10"/>
        <v>7.446999999999965</v>
      </c>
    </row>
    <row r="127" spans="6:10" ht="12.75">
      <c r="F127" s="5"/>
      <c r="H127" s="5">
        <f t="shared" si="9"/>
        <v>124</v>
      </c>
      <c r="I127" s="5">
        <v>0.083</v>
      </c>
      <c r="J127" s="5">
        <f t="shared" si="10"/>
        <v>7.363999999999965</v>
      </c>
    </row>
    <row r="128" spans="6:10" ht="12.75">
      <c r="F128" s="5"/>
      <c r="H128" s="5">
        <f t="shared" si="9"/>
        <v>125</v>
      </c>
      <c r="I128" s="5">
        <v>0.083</v>
      </c>
      <c r="J128" s="5">
        <f t="shared" si="10"/>
        <v>7.280999999999965</v>
      </c>
    </row>
    <row r="129" spans="6:10" ht="12.75">
      <c r="F129" s="5"/>
      <c r="H129" s="5">
        <f t="shared" si="9"/>
        <v>126</v>
      </c>
      <c r="I129" s="5">
        <v>0.083</v>
      </c>
      <c r="J129" s="5">
        <f t="shared" si="10"/>
        <v>7.197999999999965</v>
      </c>
    </row>
    <row r="130" spans="6:10" ht="12.75">
      <c r="F130" s="5"/>
      <c r="H130" s="5">
        <f t="shared" si="9"/>
        <v>127</v>
      </c>
      <c r="I130" s="5">
        <v>0.083</v>
      </c>
      <c r="J130" s="5">
        <f t="shared" si="10"/>
        <v>7.114999999999965</v>
      </c>
    </row>
    <row r="131" spans="6:10" ht="12.75">
      <c r="F131" s="5"/>
      <c r="H131" s="5">
        <f t="shared" si="9"/>
        <v>128</v>
      </c>
      <c r="I131" s="5">
        <v>0.083</v>
      </c>
      <c r="J131" s="5">
        <f t="shared" si="10"/>
        <v>7.0319999999999645</v>
      </c>
    </row>
    <row r="132" spans="6:10" ht="12.75">
      <c r="F132" s="5"/>
      <c r="H132" s="5">
        <f t="shared" si="9"/>
        <v>129</v>
      </c>
      <c r="I132" s="5">
        <v>0.083</v>
      </c>
      <c r="J132" s="5">
        <f t="shared" si="10"/>
        <v>6.948999999999964</v>
      </c>
    </row>
    <row r="133" spans="6:10" ht="12.75">
      <c r="F133" s="5"/>
      <c r="H133" s="44" t="s">
        <v>49</v>
      </c>
      <c r="J133" s="5"/>
    </row>
    <row r="134" spans="6:10" ht="12.75">
      <c r="F134" s="5"/>
      <c r="J134" s="5"/>
    </row>
    <row r="135" spans="6:10" ht="12.75">
      <c r="F135" s="5"/>
      <c r="H135" s="44" t="s">
        <v>89</v>
      </c>
      <c r="J135" s="49">
        <f>VLOOKUP(B11,H4:J132,3,0)/100*B8</f>
        <v>1485.2948399999987</v>
      </c>
    </row>
    <row r="136" spans="6:10" ht="12.75">
      <c r="F136" s="5"/>
      <c r="J136" s="5"/>
    </row>
    <row r="137" spans="6:10" ht="12.75">
      <c r="F137" s="5"/>
      <c r="J137" s="5"/>
    </row>
    <row r="138" spans="6:10" ht="12.75">
      <c r="F138" s="5"/>
      <c r="J138" s="5"/>
    </row>
    <row r="139" spans="6:10" ht="12.75">
      <c r="F139" s="5"/>
      <c r="J139" s="5"/>
    </row>
    <row r="140" spans="6:10" ht="12.75">
      <c r="F140" s="5"/>
      <c r="J140" s="5"/>
    </row>
    <row r="141" spans="6:10" ht="12.75">
      <c r="F141" s="5"/>
      <c r="J141" s="5"/>
    </row>
    <row r="142" spans="6:10" ht="12.75">
      <c r="F142" s="5"/>
      <c r="J142" s="5"/>
    </row>
    <row r="143" spans="6:10" ht="12.75">
      <c r="F143" s="5"/>
      <c r="J143" s="5"/>
    </row>
    <row r="144" spans="6:10" ht="12.75">
      <c r="F144" s="5"/>
      <c r="J144" s="5"/>
    </row>
    <row r="145" spans="6:10" ht="12.75">
      <c r="F145" s="5"/>
      <c r="J145" s="5"/>
    </row>
    <row r="146" spans="6:10" ht="12.75">
      <c r="F146" s="5"/>
      <c r="J146" s="5"/>
    </row>
    <row r="147" spans="6:10" ht="12.75">
      <c r="F147" s="5"/>
      <c r="J147" s="5"/>
    </row>
    <row r="148" spans="6:10" ht="12.75">
      <c r="F148" s="5"/>
      <c r="J148" s="5"/>
    </row>
    <row r="149" spans="6:10" ht="12.75">
      <c r="F149" s="5"/>
      <c r="J149" s="5"/>
    </row>
    <row r="150" spans="6:10" ht="12.75">
      <c r="F150" s="5"/>
      <c r="J150" s="5"/>
    </row>
    <row r="151" spans="6:10" ht="12.75">
      <c r="F151" s="5"/>
      <c r="J151" s="5"/>
    </row>
    <row r="152" spans="6:10" ht="12.75">
      <c r="F152" s="5"/>
      <c r="J152" s="5"/>
    </row>
    <row r="153" spans="6:10" ht="12.75">
      <c r="F153" s="5"/>
      <c r="J153" s="5"/>
    </row>
    <row r="154" spans="6:10" ht="12.75">
      <c r="F154" s="5"/>
      <c r="J154" s="5"/>
    </row>
    <row r="155" spans="6:10" ht="12.75">
      <c r="F155" s="5"/>
      <c r="J155" s="5"/>
    </row>
    <row r="156" spans="6:10" ht="12.75">
      <c r="F156" s="5"/>
      <c r="J156" s="5"/>
    </row>
    <row r="157" spans="6:10" ht="12.75">
      <c r="F157" s="5"/>
      <c r="J157" s="5"/>
    </row>
    <row r="158" spans="6:10" ht="12.75">
      <c r="F158" s="5"/>
      <c r="J158" s="5"/>
    </row>
    <row r="159" spans="6:10" ht="12.75">
      <c r="F159" s="5"/>
      <c r="J159" s="5"/>
    </row>
    <row r="160" spans="6:10" ht="12.75">
      <c r="F160" s="5"/>
      <c r="J160" s="5"/>
    </row>
    <row r="161" spans="6:10" ht="12.75">
      <c r="F161" s="5"/>
      <c r="J161" s="5"/>
    </row>
    <row r="162" spans="6:10" ht="12.75">
      <c r="F162" s="5"/>
      <c r="J162" s="5"/>
    </row>
    <row r="163" spans="6:10" ht="12.75">
      <c r="F163" s="5"/>
      <c r="J163" s="5"/>
    </row>
    <row r="164" spans="6:10" ht="12.75">
      <c r="F164" s="5"/>
      <c r="J164" s="5"/>
    </row>
    <row r="165" spans="6:10" ht="12.75">
      <c r="F165" s="5"/>
      <c r="J165" s="5"/>
    </row>
    <row r="166" spans="6:10" ht="12.75">
      <c r="F166" s="5"/>
      <c r="J166" s="5"/>
    </row>
    <row r="167" ht="12.75">
      <c r="J167" s="5"/>
    </row>
    <row r="168" ht="12.75">
      <c r="J168" s="5"/>
    </row>
    <row r="169" ht="12.75">
      <c r="J169" s="5"/>
    </row>
    <row r="170" ht="12.75">
      <c r="J170" s="5"/>
    </row>
    <row r="171" ht="12.75">
      <c r="J171" s="5"/>
    </row>
    <row r="172" ht="12.75">
      <c r="J172" s="5"/>
    </row>
    <row r="173" ht="12.75">
      <c r="J173" s="5"/>
    </row>
    <row r="174" ht="12.75">
      <c r="J174" s="5"/>
    </row>
    <row r="175" ht="12.75">
      <c r="J175" s="5"/>
    </row>
    <row r="176" ht="12.75">
      <c r="J176" s="5"/>
    </row>
    <row r="177" ht="12.75">
      <c r="J177" s="5"/>
    </row>
    <row r="178" ht="12.75">
      <c r="J178" s="5"/>
    </row>
    <row r="179" ht="12.75">
      <c r="J179" s="5"/>
    </row>
    <row r="180" ht="12.75">
      <c r="J180" s="5"/>
    </row>
    <row r="181" ht="12.75">
      <c r="J181" s="5"/>
    </row>
    <row r="182" ht="12.75">
      <c r="J182" s="5"/>
    </row>
    <row r="183" ht="12.75">
      <c r="J183" s="5"/>
    </row>
    <row r="184" ht="12.75">
      <c r="J184" s="5"/>
    </row>
    <row r="185" ht="12.75">
      <c r="J185" s="5"/>
    </row>
    <row r="186" ht="12.75">
      <c r="J186" s="5"/>
    </row>
    <row r="187" ht="12.75">
      <c r="J187" s="5"/>
    </row>
    <row r="188" ht="12.75">
      <c r="J188" s="5"/>
    </row>
    <row r="189" ht="12.75">
      <c r="J189" s="5"/>
    </row>
    <row r="190" ht="12.75">
      <c r="J190" s="5"/>
    </row>
    <row r="191" ht="12.75">
      <c r="J191" s="5"/>
    </row>
    <row r="192" ht="12.75">
      <c r="J192" s="5"/>
    </row>
    <row r="193" ht="12.75">
      <c r="J193" s="5"/>
    </row>
    <row r="194" ht="12.75">
      <c r="J194" s="5"/>
    </row>
    <row r="195" ht="12.75">
      <c r="J195" s="5"/>
    </row>
    <row r="196" ht="12.75">
      <c r="J196" s="5"/>
    </row>
  </sheetData>
  <sheetProtection/>
  <hyperlinks>
    <hyperlink ref="A21" location="'eenmanszaak met BTW-aftrek'!P1" display="Investeringsaftrek"/>
  </hyperlinks>
  <printOptions/>
  <pageMargins left="0.75" right="0.75" top="1" bottom="1" header="0.5" footer="0.5"/>
  <pageSetup fitToWidth="0" fitToHeight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6"/>
  <sheetViews>
    <sheetView showGridLines="0" tabSelected="1" zoomScale="120" zoomScaleNormal="120" zoomScalePageLayoutView="0" workbookViewId="0" topLeftCell="A1">
      <selection activeCell="D47" sqref="D47"/>
    </sheetView>
  </sheetViews>
  <sheetFormatPr defaultColWidth="9.77734375" defaultRowHeight="15"/>
  <cols>
    <col min="1" max="1" width="32.10546875" style="5" customWidth="1"/>
    <col min="2" max="2" width="10.77734375" style="6" customWidth="1"/>
    <col min="3" max="3" width="4.77734375" style="5" customWidth="1"/>
    <col min="4" max="4" width="12.21484375" style="5" customWidth="1"/>
    <col min="5" max="5" width="4.77734375" style="5" customWidth="1"/>
    <col min="6" max="6" width="10.77734375" style="6" customWidth="1"/>
    <col min="7" max="9" width="9.77734375" style="5" customWidth="1"/>
    <col min="10" max="10" width="8.5546875" style="5" customWidth="1"/>
    <col min="11" max="16384" width="9.77734375" style="5" customWidth="1"/>
  </cols>
  <sheetData>
    <row r="1" spans="1:11" s="1" customFormat="1" ht="15.75">
      <c r="A1" s="3" t="s">
        <v>82</v>
      </c>
      <c r="B1" s="2"/>
      <c r="F1" s="42" t="s">
        <v>109</v>
      </c>
      <c r="H1" s="22" t="s">
        <v>79</v>
      </c>
      <c r="I1" s="7"/>
      <c r="J1" s="7"/>
      <c r="K1" s="7"/>
    </row>
    <row r="2" ht="12.75">
      <c r="A2" s="4"/>
    </row>
    <row r="3" spans="1:11" ht="12.75">
      <c r="A3" s="4" t="s">
        <v>94</v>
      </c>
      <c r="H3" s="47" t="s">
        <v>84</v>
      </c>
      <c r="I3" s="7"/>
      <c r="J3" s="7"/>
      <c r="K3" s="7"/>
    </row>
    <row r="4" spans="1:11" ht="12.75">
      <c r="A4" s="5" t="s">
        <v>11</v>
      </c>
      <c r="H4" s="39" t="s">
        <v>63</v>
      </c>
      <c r="I4" s="39" t="s">
        <v>65</v>
      </c>
      <c r="J4" s="39"/>
      <c r="K4" s="22" t="s">
        <v>66</v>
      </c>
    </row>
    <row r="5" spans="1:14" s="7" customFormat="1" ht="12.75">
      <c r="A5" s="26" t="s">
        <v>17</v>
      </c>
      <c r="B5" s="24"/>
      <c r="D5" s="22" t="s">
        <v>38</v>
      </c>
      <c r="F5" s="8"/>
      <c r="H5" s="39" t="s">
        <v>64</v>
      </c>
      <c r="I5" s="39" t="s">
        <v>64</v>
      </c>
      <c r="J5" s="39"/>
      <c r="K5" s="22"/>
      <c r="L5" s="5"/>
      <c r="M5" s="5"/>
      <c r="N5" s="5"/>
    </row>
    <row r="6" spans="1:11" s="7" customFormat="1" ht="12.75">
      <c r="A6" s="21" t="s">
        <v>0</v>
      </c>
      <c r="B6" s="24">
        <v>30000</v>
      </c>
      <c r="C6" s="46" t="s">
        <v>53</v>
      </c>
      <c r="D6" s="46" t="s">
        <v>85</v>
      </c>
      <c r="H6" s="8">
        <f>'DGA, geen BTW-aftrek in prive'!L5</f>
        <v>0</v>
      </c>
      <c r="I6" s="8">
        <f>'DGA, geen BTW-aftrek in prive'!M5</f>
        <v>2400</v>
      </c>
      <c r="J6" s="8"/>
      <c r="K6" s="21">
        <f>'DGA, geen BTW-aftrek in prive'!O5</f>
        <v>0</v>
      </c>
    </row>
    <row r="7" spans="1:11" s="7" customFormat="1" ht="12.75">
      <c r="A7" s="7" t="s">
        <v>1</v>
      </c>
      <c r="B7" s="24">
        <v>39620</v>
      </c>
      <c r="C7" s="46" t="s">
        <v>53</v>
      </c>
      <c r="D7" s="46" t="s">
        <v>83</v>
      </c>
      <c r="H7" s="8">
        <f>'DGA, geen BTW-aftrek in prive'!L6</f>
        <v>2400</v>
      </c>
      <c r="I7" s="8">
        <f>'DGA, geen BTW-aftrek in prive'!M6</f>
        <v>59170</v>
      </c>
      <c r="J7" s="8"/>
      <c r="K7" s="21" t="str">
        <f>'DGA, geen BTW-aftrek in prive'!O6</f>
        <v>28% x investeringstotaal van dit jaar</v>
      </c>
    </row>
    <row r="8" spans="1:11" s="7" customFormat="1" ht="12.75">
      <c r="A8" s="7" t="s">
        <v>18</v>
      </c>
      <c r="B8" s="24">
        <v>9620</v>
      </c>
      <c r="C8" s="46" t="s">
        <v>52</v>
      </c>
      <c r="D8" s="46" t="s">
        <v>35</v>
      </c>
      <c r="H8" s="8">
        <f>'DGA, geen BTW-aftrek in prive'!L7</f>
        <v>59170</v>
      </c>
      <c r="I8" s="8">
        <f>'DGA, geen BTW-aftrek in prive'!M7</f>
        <v>109574</v>
      </c>
      <c r="J8" s="8"/>
      <c r="K8" s="102">
        <f>'DGA, geen BTW-aftrek in prive'!O7</f>
        <v>16568</v>
      </c>
    </row>
    <row r="9" spans="1:11" s="7" customFormat="1" ht="12.75">
      <c r="A9" s="7" t="s">
        <v>19</v>
      </c>
      <c r="B9" s="24">
        <v>12000</v>
      </c>
      <c r="C9" s="46" t="s">
        <v>52</v>
      </c>
      <c r="D9" s="46" t="s">
        <v>91</v>
      </c>
      <c r="F9" s="43" t="s">
        <v>11</v>
      </c>
      <c r="H9" s="8">
        <f>'DGA, geen BTW-aftrek in prive'!L8</f>
        <v>109574</v>
      </c>
      <c r="I9" s="8">
        <f>'DGA, geen BTW-aftrek in prive'!M8</f>
        <v>328721</v>
      </c>
      <c r="J9" s="8"/>
      <c r="K9" s="21" t="str">
        <f>'DGA, geen BTW-aftrek in prive'!O8</f>
        <v>€ 16.568 minus 7,56% x (inv.totaal - € 109.574)</v>
      </c>
    </row>
    <row r="10" spans="1:11" s="7" customFormat="1" ht="12.75">
      <c r="A10" s="43" t="s">
        <v>87</v>
      </c>
      <c r="B10" s="24">
        <v>48</v>
      </c>
      <c r="C10" s="46" t="s">
        <v>88</v>
      </c>
      <c r="D10" s="46"/>
      <c r="H10" s="8">
        <f>'DGA, geen BTW-aftrek in prive'!L9</f>
        <v>328721</v>
      </c>
      <c r="I10" s="8">
        <f>'DGA, geen BTW-aftrek in prive'!M9</f>
        <v>0</v>
      </c>
      <c r="J10" s="8"/>
      <c r="K10" s="21">
        <f>'DGA, geen BTW-aftrek in prive'!O9</f>
        <v>0</v>
      </c>
    </row>
    <row r="11" spans="1:4" s="7" customFormat="1" ht="12.75">
      <c r="A11" s="7" t="s">
        <v>24</v>
      </c>
      <c r="B11" s="24">
        <v>1000</v>
      </c>
      <c r="C11" s="46" t="s">
        <v>53</v>
      </c>
      <c r="D11" s="46" t="s">
        <v>33</v>
      </c>
    </row>
    <row r="12" spans="1:8" s="7" customFormat="1" ht="12.75">
      <c r="A12" s="7" t="s">
        <v>40</v>
      </c>
      <c r="B12" s="24">
        <v>360</v>
      </c>
      <c r="C12" s="46" t="s">
        <v>53</v>
      </c>
      <c r="D12" s="46" t="s">
        <v>36</v>
      </c>
      <c r="H12" s="47" t="str">
        <f>'DGA, geen BTW-aftrek in prive'!L11</f>
        <v>Milieu-investeringsaftrek, voorbeelden:</v>
      </c>
    </row>
    <row r="13" spans="1:11" s="7" customFormat="1" ht="12.75">
      <c r="A13" s="7" t="s">
        <v>25</v>
      </c>
      <c r="B13" s="24">
        <v>1200</v>
      </c>
      <c r="C13" s="46" t="s">
        <v>53</v>
      </c>
      <c r="D13" s="46"/>
      <c r="H13" s="104" t="str">
        <f>'DGA, geen BTW-aftrek in prive'!L12</f>
        <v>Volledig elektrische personenauto</v>
      </c>
      <c r="K13" s="43" t="str">
        <f>'DGA, geen BTW-aftrek in prive'!O12</f>
        <v>13,5% over max. € 40.000</v>
      </c>
    </row>
    <row r="14" spans="1:11" s="7" customFormat="1" ht="12.75">
      <c r="A14" s="7" t="s">
        <v>72</v>
      </c>
      <c r="B14" s="24">
        <v>4</v>
      </c>
      <c r="C14" s="46" t="s">
        <v>29</v>
      </c>
      <c r="D14" s="46"/>
      <c r="H14" s="104" t="str">
        <f>'DGA, geen BTW-aftrek in prive'!L13</f>
        <v>Volledig elektrische N1/N2 bestelauto</v>
      </c>
      <c r="K14" s="43" t="str">
        <f>'DGA, geen BTW-aftrek in prive'!O13</f>
        <v>36% over max. € 75.000</v>
      </c>
    </row>
    <row r="15" spans="1:11" s="7" customFormat="1" ht="12.75">
      <c r="A15" s="7" t="s">
        <v>20</v>
      </c>
      <c r="B15" s="24">
        <v>7</v>
      </c>
      <c r="C15" s="46" t="s">
        <v>16</v>
      </c>
      <c r="D15" s="46"/>
      <c r="H15" s="104" t="str">
        <f>'DGA, geen BTW-aftrek in prive'!L14</f>
        <v>Bestelauto met zonnecelkoeling</v>
      </c>
      <c r="K15" s="43" t="str">
        <f>'DGA, geen BTW-aftrek in prive'!O14</f>
        <v>27% over max. € 16.000</v>
      </c>
    </row>
    <row r="16" spans="1:11" s="7" customFormat="1" ht="12.75">
      <c r="A16" s="7" t="s">
        <v>21</v>
      </c>
      <c r="B16" s="27">
        <v>1.53</v>
      </c>
      <c r="C16" s="46" t="s">
        <v>52</v>
      </c>
      <c r="D16" s="46" t="s">
        <v>32</v>
      </c>
      <c r="H16" s="104" t="str">
        <f>'DGA, geen BTW-aftrek in prive'!L15</f>
        <v>(zie voorwaarden milieulijst)</v>
      </c>
      <c r="K16" s="43" t="str">
        <f>'DGA, geen BTW-aftrek in prive'!O15</f>
        <v>plus 45% energie-inv.aftrek over de zonnepanelen</v>
      </c>
    </row>
    <row r="17" spans="1:11" s="7" customFormat="1" ht="12.75">
      <c r="A17" s="7" t="s">
        <v>22</v>
      </c>
      <c r="B17" s="24">
        <v>8000</v>
      </c>
      <c r="C17" s="46" t="s">
        <v>51</v>
      </c>
      <c r="D17" s="46"/>
      <c r="H17" s="47" t="s">
        <v>106</v>
      </c>
      <c r="I17" s="43" t="s">
        <v>11</v>
      </c>
      <c r="K17" s="43" t="s">
        <v>11</v>
      </c>
    </row>
    <row r="18" spans="1:11" s="7" customFormat="1" ht="12.75">
      <c r="A18" s="7" t="s">
        <v>23</v>
      </c>
      <c r="B18" s="24">
        <v>22000</v>
      </c>
      <c r="C18" s="46" t="s">
        <v>51</v>
      </c>
      <c r="D18" s="46" t="s">
        <v>37</v>
      </c>
      <c r="H18" s="43" t="s">
        <v>11</v>
      </c>
      <c r="K18" s="43" t="s">
        <v>11</v>
      </c>
    </row>
    <row r="19" spans="1:8" s="7" customFormat="1" ht="12.75">
      <c r="A19" s="7" t="s">
        <v>61</v>
      </c>
      <c r="B19" s="24">
        <v>22</v>
      </c>
      <c r="C19" s="46" t="s">
        <v>29</v>
      </c>
      <c r="D19" s="46"/>
      <c r="H19" s="43" t="s">
        <v>11</v>
      </c>
    </row>
    <row r="20" spans="1:4" s="7" customFormat="1" ht="12.75">
      <c r="A20" s="40" t="s">
        <v>81</v>
      </c>
      <c r="B20" s="24">
        <v>0</v>
      </c>
      <c r="C20" s="46" t="s">
        <v>53</v>
      </c>
      <c r="D20" s="46" t="s">
        <v>96</v>
      </c>
    </row>
    <row r="21" spans="1:6" s="7" customFormat="1" ht="12.75">
      <c r="A21" s="7" t="s">
        <v>27</v>
      </c>
      <c r="B21" s="24">
        <v>19</v>
      </c>
      <c r="C21" s="46" t="s">
        <v>28</v>
      </c>
      <c r="D21" s="46"/>
      <c r="F21" s="8"/>
    </row>
    <row r="22" spans="1:6" s="7" customFormat="1" ht="12.75">
      <c r="A22" s="7" t="s">
        <v>55</v>
      </c>
      <c r="B22" s="28">
        <v>49.5</v>
      </c>
      <c r="C22" s="46" t="s">
        <v>29</v>
      </c>
      <c r="D22" s="46" t="s">
        <v>78</v>
      </c>
      <c r="F22" s="8"/>
    </row>
    <row r="23" spans="1:8" s="7" customFormat="1" ht="12.75">
      <c r="A23" s="7" t="s">
        <v>11</v>
      </c>
      <c r="B23" s="23" t="s">
        <v>11</v>
      </c>
      <c r="C23" s="7" t="s">
        <v>11</v>
      </c>
      <c r="F23" s="8"/>
      <c r="H23" s="50" t="s">
        <v>11</v>
      </c>
    </row>
    <row r="24" ht="12.75">
      <c r="H24" s="44" t="s">
        <v>11</v>
      </c>
    </row>
    <row r="25" spans="1:8" ht="12.75">
      <c r="A25" s="10" t="s">
        <v>26</v>
      </c>
      <c r="B25" s="12"/>
      <c r="C25" s="11"/>
      <c r="D25" s="11"/>
      <c r="E25" s="11"/>
      <c r="F25" s="12"/>
      <c r="H25" s="44" t="s">
        <v>11</v>
      </c>
    </row>
    <row r="26" spans="2:6" ht="12.75">
      <c r="B26" s="15" t="s">
        <v>3</v>
      </c>
      <c r="C26" s="29"/>
      <c r="D26" s="14" t="s">
        <v>13</v>
      </c>
      <c r="E26" s="29"/>
      <c r="F26" s="15" t="s">
        <v>4</v>
      </c>
    </row>
    <row r="27" spans="1:7" ht="12.75">
      <c r="A27" s="13" t="s">
        <v>8</v>
      </c>
      <c r="B27" s="6">
        <f>(($B$6*100/121)-$B$9)/($B$10/12)</f>
        <v>3198.347107438017</v>
      </c>
      <c r="C27" s="6"/>
      <c r="D27" s="6"/>
      <c r="E27" s="6"/>
      <c r="G27" s="44" t="s">
        <v>11</v>
      </c>
    </row>
    <row r="28" spans="1:7" ht="12.75">
      <c r="A28" s="13" t="s">
        <v>71</v>
      </c>
      <c r="B28" s="6">
        <f>((($B$6*100/121)+B9)/2*B14/100)</f>
        <v>735.8677685950414</v>
      </c>
      <c r="C28" s="6"/>
      <c r="D28" s="6" t="s">
        <v>11</v>
      </c>
      <c r="E28" s="6" t="s">
        <v>11</v>
      </c>
      <c r="F28" s="6" t="s">
        <v>11</v>
      </c>
      <c r="G28" s="44" t="s">
        <v>11</v>
      </c>
    </row>
    <row r="29" spans="1:7" ht="12.75">
      <c r="A29" s="13" t="s">
        <v>39</v>
      </c>
      <c r="B29" s="25">
        <f>D44</f>
        <v>2386.4462809917354</v>
      </c>
      <c r="C29" s="6"/>
      <c r="D29" s="6"/>
      <c r="E29" s="6"/>
      <c r="G29" s="44" t="s">
        <v>11</v>
      </c>
    </row>
    <row r="30" spans="1:5" ht="12.75">
      <c r="A30" s="13" t="s">
        <v>2</v>
      </c>
      <c r="B30" s="18">
        <f>(B17+B18)/100*B15*B16*100/121</f>
        <v>2655.371900826446</v>
      </c>
      <c r="C30" s="6"/>
      <c r="D30" s="6" t="s">
        <v>11</v>
      </c>
      <c r="E30" s="6"/>
    </row>
    <row r="31" spans="1:5" ht="12.75">
      <c r="A31" s="5" t="str">
        <f>A46</f>
        <v>BTW over privégebruik</v>
      </c>
      <c r="B31" s="16">
        <f>D46</f>
        <v>1069.74</v>
      </c>
      <c r="E31" s="6"/>
    </row>
    <row r="32" spans="1:6" ht="12.75">
      <c r="A32" s="13" t="s">
        <v>5</v>
      </c>
      <c r="B32" s="6">
        <f>SUM(B27:B31)</f>
        <v>10045.77305785124</v>
      </c>
      <c r="C32" s="6"/>
      <c r="D32" s="6"/>
      <c r="E32" s="6"/>
      <c r="F32" s="6" t="s">
        <v>11</v>
      </c>
    </row>
    <row r="33" spans="1:5" ht="12.75">
      <c r="A33" s="13" t="s">
        <v>6</v>
      </c>
      <c r="B33" s="6">
        <f>B18*-B21/100</f>
        <v>-4180</v>
      </c>
      <c r="C33" s="6"/>
      <c r="D33" s="6">
        <f>-B33</f>
        <v>4180</v>
      </c>
      <c r="E33" s="6"/>
    </row>
    <row r="34" spans="1:6" ht="12.75">
      <c r="A34" s="13" t="s">
        <v>60</v>
      </c>
      <c r="B34" s="6">
        <f>B18*(B21-19)/100*B22/100</f>
        <v>0</v>
      </c>
      <c r="C34" s="6"/>
      <c r="D34" s="17">
        <f>D33*-B22/100*0.86</f>
        <v>-1779.426</v>
      </c>
      <c r="E34" s="6"/>
      <c r="F34" s="18"/>
    </row>
    <row r="35" spans="1:5" ht="12.75">
      <c r="A35" s="13" t="s">
        <v>11</v>
      </c>
      <c r="B35" s="18"/>
      <c r="C35" s="6"/>
      <c r="D35" s="18" t="s">
        <v>11</v>
      </c>
      <c r="E35" s="6"/>
    </row>
    <row r="36" spans="1:6" ht="13.5" thickBot="1">
      <c r="A36" s="13" t="s">
        <v>9</v>
      </c>
      <c r="B36" s="19">
        <f>SUM(B32:B35)</f>
        <v>5865.77305785124</v>
      </c>
      <c r="C36" s="6"/>
      <c r="D36" s="19">
        <f>SUM(D32:D35)</f>
        <v>2400.574</v>
      </c>
      <c r="E36" s="6"/>
      <c r="F36" s="19">
        <f>SUM(B36+D36)</f>
        <v>8266.34705785124</v>
      </c>
    </row>
    <row r="37" spans="2:6" ht="13.5" thickTop="1">
      <c r="B37" s="18"/>
      <c r="C37" s="6"/>
      <c r="D37" s="18"/>
      <c r="E37" s="6"/>
      <c r="F37" s="18"/>
    </row>
    <row r="38" spans="1:6" ht="13.5" thickBot="1">
      <c r="A38" s="5" t="s">
        <v>10</v>
      </c>
      <c r="B38" s="18"/>
      <c r="C38" s="6"/>
      <c r="D38" s="18"/>
      <c r="E38" s="6"/>
      <c r="F38" s="20">
        <f>F36*(B10/12)</f>
        <v>33065.38823140496</v>
      </c>
    </row>
    <row r="39" spans="2:6" ht="13.5" thickTop="1">
      <c r="B39" s="18"/>
      <c r="C39" s="6"/>
      <c r="D39" s="18"/>
      <c r="E39" s="6"/>
      <c r="F39" s="18"/>
    </row>
    <row r="40" spans="1:6" ht="12.75">
      <c r="A40" s="10" t="s">
        <v>56</v>
      </c>
      <c r="B40" s="12"/>
      <c r="C40" s="11"/>
      <c r="D40" s="11"/>
      <c r="E40" s="11"/>
      <c r="F40" s="12"/>
    </row>
    <row r="41" spans="2:6" ht="12.75">
      <c r="B41" s="15" t="s">
        <v>7</v>
      </c>
      <c r="D41" s="14" t="s">
        <v>13</v>
      </c>
      <c r="F41" s="15" t="s">
        <v>4</v>
      </c>
    </row>
    <row r="42" spans="1:5" ht="12.75">
      <c r="A42" s="13" t="s">
        <v>8</v>
      </c>
      <c r="C42" s="6"/>
      <c r="D42" s="6">
        <f>(($B$6*100/121)-$B$9)/($B$10/12)</f>
        <v>3198.347107438017</v>
      </c>
      <c r="E42" s="6"/>
    </row>
    <row r="43" spans="1:5" ht="12.75">
      <c r="A43" s="13" t="s">
        <v>71</v>
      </c>
      <c r="C43" s="6"/>
      <c r="D43" s="6">
        <f>B28</f>
        <v>735.8677685950414</v>
      </c>
      <c r="E43" s="6"/>
    </row>
    <row r="44" spans="1:6" ht="12.75">
      <c r="A44" s="13" t="str">
        <f>A29</f>
        <v>Verzekering/MRB/onderhoud</v>
      </c>
      <c r="C44" s="6"/>
      <c r="D44" s="6">
        <f>B11*100/121+B12+B13</f>
        <v>2386.4462809917354</v>
      </c>
      <c r="E44" s="6"/>
      <c r="F44" s="6" t="s">
        <v>11</v>
      </c>
    </row>
    <row r="45" spans="1:5" ht="12.75">
      <c r="A45" s="13" t="str">
        <f>A30</f>
        <v>Brandstof</v>
      </c>
      <c r="C45" s="6"/>
      <c r="D45" s="6">
        <f>B30</f>
        <v>2655.371900826446</v>
      </c>
      <c r="E45" s="6"/>
    </row>
    <row r="46" spans="1:5" ht="12.75">
      <c r="A46" s="13" t="s">
        <v>69</v>
      </c>
      <c r="C46" s="6"/>
      <c r="D46" s="6">
        <f>0.027*B7</f>
        <v>1069.74</v>
      </c>
      <c r="E46" s="6"/>
    </row>
    <row r="47" spans="1:6" ht="12.75">
      <c r="A47" s="5" t="str">
        <f>A34</f>
        <v>Inkomstenbelasting</v>
      </c>
      <c r="C47" s="6"/>
      <c r="D47" s="6">
        <f>(SUM(D42:D46)+B20)*-B22/100*0.86</f>
        <v>-4276.485590727272</v>
      </c>
      <c r="E47" s="6" t="s">
        <v>11</v>
      </c>
      <c r="F47" s="6" t="s">
        <v>11</v>
      </c>
    </row>
    <row r="48" spans="1:6" ht="12.75">
      <c r="A48" s="13" t="s">
        <v>48</v>
      </c>
      <c r="B48" s="6">
        <f>IF(B17&lt;500,0,IF(AND(B17&gt;500,SUM(D42:D46)&lt;(B7*(B19/100))),B22/100*0.86*SUM(D42:D46),((B22/100)*0.86*(B19*B7))/100))</f>
        <v>3710.57148</v>
      </c>
      <c r="D48" s="6" t="s">
        <v>11</v>
      </c>
      <c r="F48" s="6" t="s">
        <v>11</v>
      </c>
    </row>
    <row r="49" spans="3:6" ht="12.75">
      <c r="C49" s="6"/>
      <c r="D49" s="6"/>
      <c r="E49" s="6"/>
      <c r="F49" s="6" t="s">
        <v>11</v>
      </c>
    </row>
    <row r="50" spans="1:8" ht="13.5" thickBot="1">
      <c r="A50" s="41" t="s">
        <v>86</v>
      </c>
      <c r="B50" s="19">
        <f>SUM(B42:B48)</f>
        <v>3710.57148</v>
      </c>
      <c r="C50" s="6"/>
      <c r="D50" s="19">
        <f>SUM(D42:D49)</f>
        <v>5769.287467123968</v>
      </c>
      <c r="E50" s="6"/>
      <c r="F50" s="19">
        <f>SUM(B50+D50)</f>
        <v>9479.858947123968</v>
      </c>
      <c r="G50" s="44" t="s">
        <v>11</v>
      </c>
      <c r="H50" s="44" t="s">
        <v>11</v>
      </c>
    </row>
    <row r="51" spans="2:6" ht="13.5" thickTop="1">
      <c r="B51" s="18"/>
      <c r="C51" s="6"/>
      <c r="D51" s="18"/>
      <c r="E51" s="6"/>
      <c r="F51" s="18"/>
    </row>
    <row r="52" spans="1:6" ht="13.5" thickBot="1">
      <c r="A52" s="5" t="s">
        <v>15</v>
      </c>
      <c r="B52" s="6" t="s">
        <v>11</v>
      </c>
      <c r="F52" s="20">
        <f>F50+(F50+B20*B22/100*0.86)*((B10/12)-1)</f>
        <v>37919.43578849587</v>
      </c>
    </row>
    <row r="53" spans="1:6" ht="13.5" thickTop="1">
      <c r="A53" s="9"/>
      <c r="B53" s="18" t="s">
        <v>11</v>
      </c>
      <c r="C53" s="9"/>
      <c r="D53" s="18" t="s">
        <v>11</v>
      </c>
      <c r="E53" s="9"/>
      <c r="F53" s="45" t="s">
        <v>11</v>
      </c>
    </row>
    <row r="54" ht="12.75">
      <c r="F54" s="44" t="s">
        <v>11</v>
      </c>
    </row>
    <row r="55" spans="1:6" ht="12.75">
      <c r="A55" s="34" t="s">
        <v>54</v>
      </c>
      <c r="B55" s="35"/>
      <c r="C55" s="36"/>
      <c r="D55" s="37" t="str">
        <f>IF((F52-F38)&gt;0,"in privé","in de onderneming")</f>
        <v>in privé</v>
      </c>
      <c r="F55" s="5"/>
    </row>
    <row r="56" ht="12.75">
      <c r="F56" s="5"/>
    </row>
    <row r="57" ht="12.75">
      <c r="F57" s="5"/>
    </row>
    <row r="58" spans="1:6" ht="12.75">
      <c r="A58" s="44" t="s">
        <v>112</v>
      </c>
      <c r="F58" s="5"/>
    </row>
    <row r="59" spans="1:6" ht="12.75">
      <c r="A59" s="44" t="s">
        <v>113</v>
      </c>
      <c r="F59" s="5"/>
    </row>
    <row r="60" spans="1:6" ht="12.75">
      <c r="A60" s="38" t="s">
        <v>11</v>
      </c>
      <c r="F60" s="5"/>
    </row>
    <row r="61" spans="1:6" ht="12.75">
      <c r="A61" s="38" t="s">
        <v>74</v>
      </c>
      <c r="F61" s="5"/>
    </row>
    <row r="62" spans="1:6" ht="12.75">
      <c r="A62" s="38" t="s">
        <v>75</v>
      </c>
      <c r="F62" s="5"/>
    </row>
    <row r="63" ht="12.75">
      <c r="F63" s="5"/>
    </row>
    <row r="64" spans="1:6" ht="12.75">
      <c r="A64" s="38" t="str">
        <f>'DGA, geen BTW-aftrek in prive'!A66</f>
        <v>© 2021 AMD automotive fiscalisten B.V., www.autoenfiscus.nl</v>
      </c>
      <c r="F64" s="5"/>
    </row>
    <row r="65" spans="1:6" ht="12.75">
      <c r="A65" s="38" t="str">
        <f>'DGA, geen BTW-aftrek in prive'!A67</f>
        <v>Hoewel aan de samenstelling de uiterste zorg is besteed, aanvaardt AMD automotive fiscalisten B.V. geen enkele </v>
      </c>
      <c r="F65" s="5"/>
    </row>
    <row r="66" spans="1:6" ht="12.75">
      <c r="A66" s="38" t="s">
        <v>57</v>
      </c>
      <c r="F66" s="5"/>
    </row>
    <row r="67" ht="12.75">
      <c r="F67" s="5"/>
    </row>
    <row r="68" ht="12.75">
      <c r="F68" s="5"/>
    </row>
    <row r="69" ht="12.75">
      <c r="F69" s="5"/>
    </row>
    <row r="70" ht="12.75">
      <c r="F70" s="5"/>
    </row>
    <row r="71" ht="12.75">
      <c r="F71" s="5"/>
    </row>
    <row r="72" ht="12.75">
      <c r="F72" s="5"/>
    </row>
    <row r="73" ht="12.75">
      <c r="F73" s="5"/>
    </row>
    <row r="74" ht="12.75">
      <c r="F74" s="5"/>
    </row>
    <row r="75" ht="12.75">
      <c r="F75" s="5"/>
    </row>
    <row r="76" ht="12.75">
      <c r="F76" s="5"/>
    </row>
    <row r="77" ht="12.75">
      <c r="F77" s="5"/>
    </row>
    <row r="78" ht="12.75">
      <c r="F78" s="5"/>
    </row>
    <row r="79" ht="12.75">
      <c r="F79" s="5"/>
    </row>
    <row r="80" ht="12.75">
      <c r="F80" s="5"/>
    </row>
    <row r="81" ht="12.75">
      <c r="F81" s="5"/>
    </row>
    <row r="82" ht="12.75">
      <c r="F82" s="5"/>
    </row>
    <row r="83" ht="12.75">
      <c r="F83" s="5"/>
    </row>
    <row r="84" ht="12.75">
      <c r="F84" s="5"/>
    </row>
    <row r="85" ht="12.75">
      <c r="F85" s="5"/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0" ht="12.75">
      <c r="F90" s="5"/>
    </row>
    <row r="91" ht="12.75">
      <c r="F91" s="5"/>
    </row>
    <row r="92" ht="12.75">
      <c r="F92" s="5"/>
    </row>
    <row r="93" ht="12.75">
      <c r="F93" s="5"/>
    </row>
    <row r="94" ht="12.75">
      <c r="F94" s="5"/>
    </row>
    <row r="95" ht="12.75">
      <c r="F95" s="5"/>
    </row>
    <row r="96" ht="12.75">
      <c r="F96" s="5"/>
    </row>
    <row r="97" ht="12.75">
      <c r="F97" s="5"/>
    </row>
    <row r="98" ht="12.75">
      <c r="F98" s="5"/>
    </row>
    <row r="99" ht="12.75">
      <c r="F99" s="5"/>
    </row>
    <row r="100" ht="12.75">
      <c r="F100" s="5"/>
    </row>
    <row r="101" ht="12.75">
      <c r="F101" s="5"/>
    </row>
    <row r="102" ht="12.75">
      <c r="F102" s="5"/>
    </row>
    <row r="103" ht="12.75">
      <c r="F103" s="5"/>
    </row>
    <row r="104" ht="12.75">
      <c r="F104" s="5"/>
    </row>
    <row r="105" ht="12.75">
      <c r="F105" s="5"/>
    </row>
    <row r="106" ht="12.75">
      <c r="F106" s="5"/>
    </row>
    <row r="107" ht="12.75">
      <c r="F107" s="5"/>
    </row>
    <row r="108" ht="12.75">
      <c r="F108" s="5"/>
    </row>
    <row r="109" ht="12.75">
      <c r="F109" s="5"/>
    </row>
    <row r="110" ht="12.75">
      <c r="F110" s="5"/>
    </row>
    <row r="111" ht="12.75">
      <c r="F111" s="5"/>
    </row>
    <row r="112" ht="12.75">
      <c r="F112" s="5"/>
    </row>
    <row r="113" ht="12.75">
      <c r="F113" s="5"/>
    </row>
    <row r="114" ht="12.75">
      <c r="F114" s="5"/>
    </row>
    <row r="115" ht="12.75">
      <c r="F115" s="5"/>
    </row>
    <row r="116" ht="12.75">
      <c r="F116" s="5"/>
    </row>
    <row r="117" ht="12.75">
      <c r="F117" s="5"/>
    </row>
    <row r="118" ht="12.75">
      <c r="F118" s="5"/>
    </row>
    <row r="119" ht="12.75">
      <c r="F119" s="5"/>
    </row>
    <row r="120" ht="12.75">
      <c r="F120" s="5"/>
    </row>
    <row r="121" ht="12.75">
      <c r="F121" s="5"/>
    </row>
    <row r="122" ht="12.75">
      <c r="F122" s="5"/>
    </row>
    <row r="123" ht="12.75">
      <c r="F123" s="5"/>
    </row>
    <row r="124" ht="12.75">
      <c r="F124" s="5"/>
    </row>
    <row r="125" ht="12.75">
      <c r="F125" s="5"/>
    </row>
    <row r="126" ht="12.75">
      <c r="F126" s="5"/>
    </row>
    <row r="127" ht="12.75">
      <c r="F127" s="5"/>
    </row>
    <row r="128" ht="12.75">
      <c r="F128" s="5"/>
    </row>
    <row r="129" ht="12.75">
      <c r="F129" s="5"/>
    </row>
    <row r="130" ht="12.75">
      <c r="F130" s="5"/>
    </row>
    <row r="131" ht="12.75">
      <c r="F131" s="5"/>
    </row>
    <row r="132" ht="12.75">
      <c r="F132" s="5"/>
    </row>
    <row r="133" ht="12.75">
      <c r="F133" s="5"/>
    </row>
    <row r="134" ht="12.75">
      <c r="F134" s="5"/>
    </row>
    <row r="135" ht="12.75">
      <c r="F135" s="5"/>
    </row>
    <row r="136" ht="12.75">
      <c r="F136" s="5"/>
    </row>
    <row r="137" ht="12.75">
      <c r="F137" s="5"/>
    </row>
    <row r="138" ht="12.75">
      <c r="F138" s="5"/>
    </row>
    <row r="139" ht="12.75">
      <c r="F139" s="5"/>
    </row>
    <row r="140" ht="12.75">
      <c r="F140" s="5"/>
    </row>
    <row r="141" ht="12.75">
      <c r="F141" s="5"/>
    </row>
    <row r="142" ht="12.75">
      <c r="F142" s="5"/>
    </row>
    <row r="143" ht="12.75">
      <c r="F143" s="5"/>
    </row>
    <row r="144" ht="12.75">
      <c r="F144" s="5"/>
    </row>
    <row r="145" ht="12.75">
      <c r="F145" s="5"/>
    </row>
    <row r="146" ht="12.75">
      <c r="F146" s="5"/>
    </row>
    <row r="147" ht="12.75">
      <c r="F147" s="5"/>
    </row>
    <row r="148" ht="12.75">
      <c r="F148" s="5"/>
    </row>
    <row r="149" ht="12.75">
      <c r="F149" s="5"/>
    </row>
    <row r="150" ht="12.75">
      <c r="F150" s="5"/>
    </row>
    <row r="151" ht="12.75">
      <c r="F151" s="5"/>
    </row>
    <row r="152" ht="12.75">
      <c r="F152" s="5"/>
    </row>
    <row r="153" ht="12.75">
      <c r="F153" s="5"/>
    </row>
    <row r="154" ht="12.75">
      <c r="F154" s="5"/>
    </row>
    <row r="155" ht="12.75">
      <c r="F155" s="5"/>
    </row>
    <row r="156" ht="12.75">
      <c r="F156" s="5"/>
    </row>
    <row r="157" ht="12.75">
      <c r="F157" s="5"/>
    </row>
    <row r="158" ht="12.75">
      <c r="F158" s="5"/>
    </row>
    <row r="159" ht="12.75">
      <c r="F159" s="5"/>
    </row>
    <row r="160" ht="12.75">
      <c r="F160" s="5"/>
    </row>
    <row r="161" ht="12.75">
      <c r="F161" s="5"/>
    </row>
    <row r="162" ht="12.75">
      <c r="F162" s="5"/>
    </row>
    <row r="163" ht="12.75">
      <c r="F163" s="5"/>
    </row>
    <row r="164" ht="12.75">
      <c r="F164" s="5"/>
    </row>
    <row r="165" ht="12.75">
      <c r="F165" s="5"/>
    </row>
    <row r="166" ht="12.75">
      <c r="F166" s="5"/>
    </row>
  </sheetData>
  <sheetProtection/>
  <hyperlinks>
    <hyperlink ref="A20" location="'eenmanszaak met BTW-aftrek'!P1" display="Investeringsaftrek"/>
  </hyperlinks>
  <printOptions/>
  <pageMargins left="0.7" right="0.7" top="0.75" bottom="0.75" header="0.3" footer="0.3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AMD automotive fiscalisten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Rekenmodel auto prive of zakelijk</dc:title>
  <dc:subject/>
  <dc:creator>AMD automotive fiscalisten</dc:creator>
  <cp:keywords/>
  <dc:description/>
  <cp:lastModifiedBy>Rolleman</cp:lastModifiedBy>
  <cp:lastPrinted>2020-04-14T06:49:24Z</cp:lastPrinted>
  <dcterms:created xsi:type="dcterms:W3CDTF">2000-01-26T12:59:49Z</dcterms:created>
  <dcterms:modified xsi:type="dcterms:W3CDTF">2021-01-05T09:50:10Z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